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Alex\Downloads\"/>
    </mc:Choice>
  </mc:AlternateContent>
  <xr:revisionPtr revIDLastSave="0" documentId="8_{316D1A09-6574-4D3C-BDFA-67CF3AA1EFA4}" xr6:coauthVersionLast="47" xr6:coauthVersionMax="47" xr10:uidLastSave="{00000000-0000-0000-0000-000000000000}"/>
  <bookViews>
    <workbookView xWindow="-110" yWindow="-110" windowWidth="19420" windowHeight="10420" tabRatio="686" xr2:uid="{00000000-000D-0000-FFFF-FFFF00000000}"/>
  </bookViews>
  <sheets>
    <sheet name="Janvier" sheetId="4" r:id="rId1"/>
    <sheet name="Février" sheetId="5" r:id="rId2"/>
    <sheet name="Mars" sheetId="17" r:id="rId3"/>
    <sheet name="Avril" sheetId="18" r:id="rId4"/>
    <sheet name="Mai" sheetId="19" r:id="rId5"/>
    <sheet name="Juin" sheetId="20" r:id="rId6"/>
    <sheet name="Juillet" sheetId="21" r:id="rId7"/>
    <sheet name="Août" sheetId="22" r:id="rId8"/>
    <sheet name="Septembre" sheetId="23" r:id="rId9"/>
    <sheet name="Octobre" sheetId="24" r:id="rId10"/>
    <sheet name="Novembre" sheetId="25" r:id="rId11"/>
    <sheet name="Décembre" sheetId="15" r:id="rId12"/>
    <sheet name="Noms des employés" sheetId="16" r:id="rId13"/>
  </sheets>
  <definedNames>
    <definedName name="AnnéeCalendrier">Janvier!$AH$4</definedName>
    <definedName name="CléCongé">Janvier!$C$2</definedName>
    <definedName name="CléMaladie">Janvier!$J$2</definedName>
    <definedName name="CléPersonnalisée1">Janvier!$M$2</definedName>
    <definedName name="CléPersonnalisée2">Janvier!$R$2</definedName>
    <definedName name="CléPersonnel">Janvier!$F$2</definedName>
    <definedName name="ÉtiquetteCléCongé">Janvier!$D$2</definedName>
    <definedName name="ÉtiquetteCléMaladie">Janvier!$K$2</definedName>
    <definedName name="ÉtiquetteCléPersonnalisée1">Janvier!$N$2</definedName>
    <definedName name="ÉtiquetteCléPersonnalisée2">Janvier!$S$2</definedName>
    <definedName name="ÉtiquetteCléPersonnel">Janvier!$G$2</definedName>
    <definedName name="Nom_clé">Janvier!$B$2</definedName>
    <definedName name="NomMois" localSheetId="7">Août!$B$4</definedName>
    <definedName name="NomMois" localSheetId="3">Avril!$B$4</definedName>
    <definedName name="NomMois" localSheetId="11">Décembre!$B$4</definedName>
    <definedName name="NomMois" localSheetId="1">Février!$B$4</definedName>
    <definedName name="NomMois" localSheetId="0">Janvier!$B$4</definedName>
    <definedName name="NomMois" localSheetId="6">Juillet!$B$4</definedName>
    <definedName name="NomMois" localSheetId="5">Juin!$B$4</definedName>
    <definedName name="NomMois" localSheetId="4">Mai!$B$4</definedName>
    <definedName name="NomMois" localSheetId="2">Mars!$B$4</definedName>
    <definedName name="NomMois" localSheetId="10">Novembre!$B$4</definedName>
    <definedName name="NomMois" localSheetId="9">Octobre!$B$4</definedName>
    <definedName name="NomMois" localSheetId="8">Septembre!$B$4</definedName>
    <definedName name="Titre_Absence_Employé">Janvier!$B$1</definedName>
    <definedName name="Titre1">Janvier[[#Headers],[Nom de l’employé]]</definedName>
    <definedName name="Titre10">Octobre[[#Headers],[Nom de l’employé]]</definedName>
    <definedName name="Titre11">Novembre[[#Headers],[Nom de l’employé]]</definedName>
    <definedName name="Titre12">Décembre[[#Headers],[Nom de l’employé]]</definedName>
    <definedName name="Titre2">Février[[#Headers],[Nom de l’employé]]</definedName>
    <definedName name="Titre3">Mars[[#Headers],[Nom de l’employé]]</definedName>
    <definedName name="Titre4">Avril[[#Headers],[Nom de l’employé]]</definedName>
    <definedName name="Titre5">Mai[[#Headers],[Nom de l’employé]]</definedName>
    <definedName name="Titre6">Juin[[#Headers],[Nom de l’employé]]</definedName>
    <definedName name="Titre7">Juillet[[#Headers],[Nom de l’employé]]</definedName>
    <definedName name="Titre8">Août[[#Headers],[Nom de l’employé]]</definedName>
    <definedName name="Titre9">Septembre[[#Headers],[Nom de l’employé]]</definedName>
    <definedName name="TitreColonne13">NomEmployé[[#Headers],[Noms des employés]]</definedName>
    <definedName name="_xlnm.Print_Titles" localSheetId="7">Août!$4:$6</definedName>
    <definedName name="_xlnm.Print_Titles" localSheetId="3">Avril!$4:$6</definedName>
    <definedName name="_xlnm.Print_Titles" localSheetId="11">Décembre!$4:$6</definedName>
    <definedName name="_xlnm.Print_Titles" localSheetId="1">Février!$4:$6</definedName>
    <definedName name="_xlnm.Print_Titles" localSheetId="0">Janvier!$4:$6</definedName>
    <definedName name="_xlnm.Print_Titles" localSheetId="6">Juillet!$4:$6</definedName>
    <definedName name="_xlnm.Print_Titles" localSheetId="5">Juin!$4:$6</definedName>
    <definedName name="_xlnm.Print_Titles" localSheetId="4">Mai!$4:$6</definedName>
    <definedName name="_xlnm.Print_Titles" localSheetId="2">Mars!$4:$6</definedName>
    <definedName name="_xlnm.Print_Titles" localSheetId="10">Novembre!$4:$6</definedName>
    <definedName name="_xlnm.Print_Titles" localSheetId="9">Octobre!$4:$6</definedName>
    <definedName name="_xlnm.Print_Titles" localSheetId="8">Septembre!$4:$6</definedName>
  </definedNames>
  <calcPr calcId="191029"/>
</workbook>
</file>

<file path=xl/calcChain.xml><?xml version="1.0" encoding="utf-8"?>
<calcChain xmlns="http://schemas.openxmlformats.org/spreadsheetml/2006/main">
  <c r="AE5" i="5" l="1"/>
  <c r="AD5" i="5"/>
  <c r="AC5" i="5"/>
  <c r="AB5" i="5"/>
  <c r="AA5" i="5"/>
  <c r="Z5" i="5"/>
  <c r="Y5" i="5"/>
  <c r="X5" i="5"/>
  <c r="W5" i="5"/>
  <c r="V5" i="5"/>
  <c r="U5" i="5"/>
  <c r="T5" i="5"/>
  <c r="S5" i="5"/>
  <c r="R5" i="5"/>
  <c r="Q5" i="5"/>
  <c r="P5" i="5"/>
  <c r="O5" i="5"/>
  <c r="N5" i="5"/>
  <c r="M5" i="5"/>
  <c r="L5" i="5"/>
  <c r="K5" i="5"/>
  <c r="J5" i="5"/>
  <c r="I5" i="5"/>
  <c r="H5" i="5"/>
  <c r="G5" i="5"/>
  <c r="F5" i="5"/>
  <c r="E5" i="5"/>
  <c r="D5" i="5"/>
  <c r="C5" i="5"/>
  <c r="AG5" i="17"/>
  <c r="AF5" i="17"/>
  <c r="AE5" i="17"/>
  <c r="AD5" i="17"/>
  <c r="AC5" i="17"/>
  <c r="AB5" i="17"/>
  <c r="AA5" i="17"/>
  <c r="Z5" i="17"/>
  <c r="Y5" i="17"/>
  <c r="X5" i="17"/>
  <c r="W5" i="17"/>
  <c r="V5" i="17"/>
  <c r="U5" i="17"/>
  <c r="T5" i="17"/>
  <c r="S5" i="17"/>
  <c r="R5" i="17"/>
  <c r="Q5" i="17"/>
  <c r="P5" i="17"/>
  <c r="O5" i="17"/>
  <c r="N5" i="17"/>
  <c r="M5" i="17"/>
  <c r="L5" i="17"/>
  <c r="K5" i="17"/>
  <c r="J5" i="17"/>
  <c r="I5" i="17"/>
  <c r="H5" i="17"/>
  <c r="G5" i="17"/>
  <c r="F5" i="17"/>
  <c r="E5" i="17"/>
  <c r="D5" i="17"/>
  <c r="C5" i="17"/>
  <c r="AF5" i="18"/>
  <c r="AE5" i="18"/>
  <c r="AD5" i="18"/>
  <c r="AC5" i="18"/>
  <c r="AB5" i="18"/>
  <c r="AA5" i="18"/>
  <c r="Z5" i="18"/>
  <c r="Y5" i="18"/>
  <c r="X5" i="18"/>
  <c r="W5" i="18"/>
  <c r="V5" i="18"/>
  <c r="U5" i="18"/>
  <c r="T5" i="18"/>
  <c r="S5" i="18"/>
  <c r="R5" i="18"/>
  <c r="Q5" i="18"/>
  <c r="P5" i="18"/>
  <c r="O5" i="18"/>
  <c r="N5" i="18"/>
  <c r="M5" i="18"/>
  <c r="L5" i="18"/>
  <c r="K5" i="18"/>
  <c r="J5" i="18"/>
  <c r="I5" i="18"/>
  <c r="H5" i="18"/>
  <c r="G5" i="18"/>
  <c r="F5" i="18"/>
  <c r="E5" i="18"/>
  <c r="D5" i="18"/>
  <c r="C5" i="18"/>
  <c r="AG5" i="19"/>
  <c r="AF5" i="19"/>
  <c r="AE5" i="19"/>
  <c r="AD5" i="19"/>
  <c r="AC5" i="19"/>
  <c r="AB5" i="19"/>
  <c r="AA5" i="19"/>
  <c r="Z5" i="19"/>
  <c r="Y5" i="19"/>
  <c r="X5" i="19"/>
  <c r="W5" i="19"/>
  <c r="V5" i="19"/>
  <c r="U5" i="19"/>
  <c r="T5" i="19"/>
  <c r="S5" i="19"/>
  <c r="R5" i="19"/>
  <c r="Q5" i="19"/>
  <c r="P5" i="19"/>
  <c r="O5" i="19"/>
  <c r="N5" i="19"/>
  <c r="M5" i="19"/>
  <c r="L5" i="19"/>
  <c r="K5" i="19"/>
  <c r="J5" i="19"/>
  <c r="I5" i="19"/>
  <c r="H5" i="19"/>
  <c r="G5" i="19"/>
  <c r="F5" i="19"/>
  <c r="E5" i="19"/>
  <c r="D5" i="19"/>
  <c r="C5" i="19"/>
  <c r="AF5" i="20"/>
  <c r="AE5" i="20"/>
  <c r="AD5" i="20"/>
  <c r="AC5" i="20"/>
  <c r="AB5" i="20"/>
  <c r="AA5" i="20"/>
  <c r="Z5" i="20"/>
  <c r="Y5" i="20"/>
  <c r="X5" i="20"/>
  <c r="W5" i="20"/>
  <c r="V5" i="20"/>
  <c r="U5" i="20"/>
  <c r="T5" i="20"/>
  <c r="S5" i="20"/>
  <c r="R5" i="20"/>
  <c r="Q5" i="20"/>
  <c r="P5" i="20"/>
  <c r="O5" i="20"/>
  <c r="N5" i="20"/>
  <c r="M5" i="20"/>
  <c r="L5" i="20"/>
  <c r="K5" i="20"/>
  <c r="J5" i="20"/>
  <c r="I5" i="20"/>
  <c r="H5" i="20"/>
  <c r="G5" i="20"/>
  <c r="F5" i="20"/>
  <c r="E5" i="20"/>
  <c r="D5" i="20"/>
  <c r="C5" i="20"/>
  <c r="AG5" i="21"/>
  <c r="AF5" i="21"/>
  <c r="AE5" i="21"/>
  <c r="AD5" i="21"/>
  <c r="AC5" i="21"/>
  <c r="AB5" i="21"/>
  <c r="AA5" i="21"/>
  <c r="Z5" i="21"/>
  <c r="Y5" i="21"/>
  <c r="X5" i="21"/>
  <c r="W5" i="21"/>
  <c r="V5" i="21"/>
  <c r="U5" i="21"/>
  <c r="T5" i="21"/>
  <c r="S5" i="21"/>
  <c r="R5" i="21"/>
  <c r="Q5" i="21"/>
  <c r="P5" i="21"/>
  <c r="O5" i="21"/>
  <c r="N5" i="21"/>
  <c r="M5" i="21"/>
  <c r="L5" i="21"/>
  <c r="K5" i="21"/>
  <c r="J5" i="21"/>
  <c r="I5" i="21"/>
  <c r="H5" i="21"/>
  <c r="G5" i="21"/>
  <c r="F5" i="21"/>
  <c r="E5" i="21"/>
  <c r="D5" i="21"/>
  <c r="C5" i="21"/>
  <c r="AG5" i="22"/>
  <c r="AF5" i="22"/>
  <c r="AE5" i="22"/>
  <c r="AD5" i="22"/>
  <c r="AC5" i="22"/>
  <c r="AB5" i="22"/>
  <c r="AA5" i="22"/>
  <c r="Z5" i="22"/>
  <c r="Y5" i="22"/>
  <c r="X5" i="22"/>
  <c r="W5" i="22"/>
  <c r="V5" i="22"/>
  <c r="U5" i="22"/>
  <c r="T5" i="22"/>
  <c r="S5" i="22"/>
  <c r="R5" i="22"/>
  <c r="Q5" i="22"/>
  <c r="P5" i="22"/>
  <c r="O5" i="22"/>
  <c r="N5" i="22"/>
  <c r="M5" i="22"/>
  <c r="L5" i="22"/>
  <c r="K5" i="22"/>
  <c r="J5" i="22"/>
  <c r="I5" i="22"/>
  <c r="H5" i="22"/>
  <c r="G5" i="22"/>
  <c r="F5" i="22"/>
  <c r="E5" i="22"/>
  <c r="D5" i="22"/>
  <c r="C5" i="22"/>
  <c r="AF5" i="23"/>
  <c r="AE5" i="23"/>
  <c r="AD5" i="23"/>
  <c r="AC5" i="23"/>
  <c r="AB5" i="23"/>
  <c r="AA5" i="23"/>
  <c r="Z5" i="23"/>
  <c r="Y5" i="23"/>
  <c r="X5" i="23"/>
  <c r="W5" i="23"/>
  <c r="V5" i="23"/>
  <c r="U5" i="23"/>
  <c r="T5" i="23"/>
  <c r="S5" i="23"/>
  <c r="R5" i="23"/>
  <c r="Q5" i="23"/>
  <c r="P5" i="23"/>
  <c r="O5" i="23"/>
  <c r="N5" i="23"/>
  <c r="M5" i="23"/>
  <c r="L5" i="23"/>
  <c r="K5" i="23"/>
  <c r="J5" i="23"/>
  <c r="I5" i="23"/>
  <c r="H5" i="23"/>
  <c r="G5" i="23"/>
  <c r="F5" i="23"/>
  <c r="E5" i="23"/>
  <c r="D5" i="23"/>
  <c r="C5" i="23"/>
  <c r="AG5" i="24"/>
  <c r="AF5" i="24"/>
  <c r="AE5" i="24"/>
  <c r="AD5" i="24"/>
  <c r="AC5" i="24"/>
  <c r="AB5" i="24"/>
  <c r="AA5" i="24"/>
  <c r="Z5" i="24"/>
  <c r="Y5" i="24"/>
  <c r="X5" i="24"/>
  <c r="W5" i="24"/>
  <c r="V5" i="24"/>
  <c r="U5" i="24"/>
  <c r="T5" i="24"/>
  <c r="S5" i="24"/>
  <c r="R5" i="24"/>
  <c r="Q5" i="24"/>
  <c r="P5" i="24"/>
  <c r="O5" i="24"/>
  <c r="N5" i="24"/>
  <c r="M5" i="24"/>
  <c r="L5" i="24"/>
  <c r="K5" i="24"/>
  <c r="J5" i="24"/>
  <c r="I5" i="24"/>
  <c r="H5" i="24"/>
  <c r="G5" i="24"/>
  <c r="F5" i="24"/>
  <c r="E5" i="24"/>
  <c r="D5" i="24"/>
  <c r="C5" i="24"/>
  <c r="AF5" i="25"/>
  <c r="AE5" i="25"/>
  <c r="AD5" i="25"/>
  <c r="AC5" i="25"/>
  <c r="AB5" i="25"/>
  <c r="AA5" i="25"/>
  <c r="Z5" i="25"/>
  <c r="Y5" i="25"/>
  <c r="X5" i="25"/>
  <c r="W5" i="25"/>
  <c r="V5" i="25"/>
  <c r="U5" i="25"/>
  <c r="T5" i="25"/>
  <c r="S5" i="25"/>
  <c r="R5" i="25"/>
  <c r="Q5" i="25"/>
  <c r="P5" i="25"/>
  <c r="O5" i="25"/>
  <c r="N5" i="25"/>
  <c r="M5" i="25"/>
  <c r="L5" i="25"/>
  <c r="K5" i="25"/>
  <c r="J5" i="25"/>
  <c r="I5" i="25"/>
  <c r="H5" i="25"/>
  <c r="G5" i="25"/>
  <c r="F5" i="25"/>
  <c r="E5" i="25"/>
  <c r="D5" i="25"/>
  <c r="C5" i="25"/>
  <c r="AG5" i="15"/>
  <c r="AF5" i="15"/>
  <c r="AE5" i="15"/>
  <c r="AD5" i="15"/>
  <c r="AC5" i="15"/>
  <c r="AB5" i="15"/>
  <c r="AA5" i="15"/>
  <c r="Z5" i="15"/>
  <c r="Y5" i="15"/>
  <c r="X5" i="15"/>
  <c r="W5" i="15"/>
  <c r="V5" i="15"/>
  <c r="U5" i="15"/>
  <c r="T5" i="15"/>
  <c r="S5" i="15"/>
  <c r="R5" i="15"/>
  <c r="Q5" i="15"/>
  <c r="P5" i="15"/>
  <c r="O5" i="15"/>
  <c r="N5" i="15"/>
  <c r="M5" i="15"/>
  <c r="L5" i="15"/>
  <c r="K5" i="15"/>
  <c r="J5" i="15"/>
  <c r="I5" i="15"/>
  <c r="H5" i="15"/>
  <c r="G5" i="15"/>
  <c r="F5" i="15"/>
  <c r="E5" i="15"/>
  <c r="D5" i="15"/>
  <c r="C5" i="15"/>
  <c r="AG5" i="4"/>
  <c r="AF5" i="4"/>
  <c r="AE5" i="4"/>
  <c r="AD5" i="4"/>
  <c r="AC5" i="4"/>
  <c r="AB5" i="4"/>
  <c r="AA5" i="4"/>
  <c r="Z5" i="4"/>
  <c r="Y5" i="4"/>
  <c r="X5" i="4"/>
  <c r="W5" i="4"/>
  <c r="V5" i="4"/>
  <c r="U5" i="4"/>
  <c r="T5" i="4"/>
  <c r="S5" i="4"/>
  <c r="R5" i="4"/>
  <c r="Q5" i="4"/>
  <c r="P5" i="4"/>
  <c r="O5" i="4"/>
  <c r="N5" i="4"/>
  <c r="M5" i="4"/>
  <c r="L5" i="4"/>
  <c r="K5" i="4"/>
  <c r="J5" i="4"/>
  <c r="I5" i="4"/>
  <c r="H5" i="4"/>
  <c r="G5" i="4"/>
  <c r="F5" i="4"/>
  <c r="E5" i="4"/>
  <c r="D5" i="4"/>
  <c r="C5" i="4"/>
  <c r="AH7" i="25" l="1"/>
  <c r="AH8" i="25"/>
  <c r="AH9" i="25"/>
  <c r="AH10" i="25"/>
  <c r="AH11" i="25"/>
  <c r="AH7" i="23"/>
  <c r="AH8" i="23"/>
  <c r="AH9" i="23"/>
  <c r="AH10" i="23"/>
  <c r="AH11" i="23"/>
  <c r="AH7" i="20"/>
  <c r="AH8" i="20"/>
  <c r="AH9" i="20"/>
  <c r="AH10" i="20"/>
  <c r="AH11" i="20"/>
  <c r="AH7" i="18"/>
  <c r="AH8" i="18"/>
  <c r="AH9" i="18"/>
  <c r="AH10" i="18"/>
  <c r="AH11" i="18"/>
  <c r="AD12" i="15"/>
  <c r="AE12" i="15"/>
  <c r="AF12" i="15"/>
  <c r="AG12" i="15"/>
  <c r="AE12" i="25"/>
  <c r="AF12" i="25"/>
  <c r="AG12" i="25"/>
  <c r="AE12" i="24"/>
  <c r="AF12" i="24"/>
  <c r="AG12" i="24"/>
  <c r="AE12" i="23"/>
  <c r="AF12" i="23"/>
  <c r="AG12" i="23"/>
  <c r="AF12" i="22"/>
  <c r="AG12" i="22"/>
  <c r="AF12" i="21"/>
  <c r="AG12" i="21"/>
  <c r="AF12" i="20"/>
  <c r="AG12" i="20"/>
  <c r="AF12" i="19"/>
  <c r="AG12" i="19"/>
  <c r="AG12" i="18"/>
  <c r="AF12" i="18"/>
  <c r="AF12" i="17"/>
  <c r="AG12" i="17"/>
  <c r="AH9" i="4" l="1"/>
  <c r="AH10" i="4"/>
  <c r="B12" i="23" l="1"/>
  <c r="AD12" i="25"/>
  <c r="AC12" i="25"/>
  <c r="AB12" i="25"/>
  <c r="AA12" i="25"/>
  <c r="Z12" i="25"/>
  <c r="Y12" i="25"/>
  <c r="X12" i="25"/>
  <c r="W12" i="25"/>
  <c r="V12" i="25"/>
  <c r="U12" i="25"/>
  <c r="T12" i="25"/>
  <c r="S12" i="25"/>
  <c r="R12" i="25"/>
  <c r="Q12" i="25"/>
  <c r="P12" i="25"/>
  <c r="O12" i="25"/>
  <c r="N12" i="25"/>
  <c r="M12" i="25"/>
  <c r="L12" i="25"/>
  <c r="K12" i="25"/>
  <c r="J12" i="25"/>
  <c r="I12" i="25"/>
  <c r="H12" i="25"/>
  <c r="G12" i="25"/>
  <c r="F12" i="25"/>
  <c r="E12" i="25"/>
  <c r="D12" i="25"/>
  <c r="C12" i="25"/>
  <c r="B12" i="25"/>
  <c r="AH4" i="25"/>
  <c r="B1" i="25"/>
  <c r="AD12" i="24"/>
  <c r="AC12" i="24"/>
  <c r="AB12" i="24"/>
  <c r="AA12" i="24"/>
  <c r="Z12" i="24"/>
  <c r="Y12" i="24"/>
  <c r="X12" i="24"/>
  <c r="W12" i="24"/>
  <c r="V12" i="24"/>
  <c r="U12" i="24"/>
  <c r="T12" i="24"/>
  <c r="S12" i="24"/>
  <c r="R12" i="24"/>
  <c r="Q12" i="24"/>
  <c r="P12" i="24"/>
  <c r="O12" i="24"/>
  <c r="N12" i="24"/>
  <c r="M12" i="24"/>
  <c r="L12" i="24"/>
  <c r="K12" i="24"/>
  <c r="J12" i="24"/>
  <c r="I12" i="24"/>
  <c r="H12" i="24"/>
  <c r="G12" i="24"/>
  <c r="F12" i="24"/>
  <c r="E12" i="24"/>
  <c r="D12" i="24"/>
  <c r="C12" i="24"/>
  <c r="B12" i="24"/>
  <c r="AH11" i="24"/>
  <c r="AH10" i="24"/>
  <c r="AH9" i="24"/>
  <c r="AH8" i="24"/>
  <c r="AH7" i="24"/>
  <c r="AH4" i="24"/>
  <c r="B1" i="24"/>
  <c r="AD12" i="23"/>
  <c r="AC12" i="23"/>
  <c r="AB12" i="23"/>
  <c r="AA12" i="23"/>
  <c r="Z12" i="23"/>
  <c r="Y12" i="23"/>
  <c r="X12" i="23"/>
  <c r="W12" i="23"/>
  <c r="V12" i="23"/>
  <c r="U12" i="23"/>
  <c r="T12" i="23"/>
  <c r="S12" i="23"/>
  <c r="R12" i="23"/>
  <c r="Q12" i="23"/>
  <c r="P12" i="23"/>
  <c r="O12" i="23"/>
  <c r="N12" i="23"/>
  <c r="M12" i="23"/>
  <c r="L12" i="23"/>
  <c r="K12" i="23"/>
  <c r="J12" i="23"/>
  <c r="I12" i="23"/>
  <c r="H12" i="23"/>
  <c r="G12" i="23"/>
  <c r="F12" i="23"/>
  <c r="E12" i="23"/>
  <c r="D12" i="23"/>
  <c r="C12" i="23"/>
  <c r="AH12" i="23"/>
  <c r="AH4" i="23"/>
  <c r="B1" i="23"/>
  <c r="AE12" i="22"/>
  <c r="AD12" i="22"/>
  <c r="AC12" i="22"/>
  <c r="AB12" i="22"/>
  <c r="AA12" i="22"/>
  <c r="Z12" i="22"/>
  <c r="Y12" i="22"/>
  <c r="X12" i="22"/>
  <c r="W12" i="22"/>
  <c r="V12" i="22"/>
  <c r="U12" i="22"/>
  <c r="T12" i="22"/>
  <c r="S12" i="22"/>
  <c r="R12" i="22"/>
  <c r="Q12" i="22"/>
  <c r="P12" i="22"/>
  <c r="O12" i="22"/>
  <c r="N12" i="22"/>
  <c r="M12" i="22"/>
  <c r="L12" i="22"/>
  <c r="K12" i="22"/>
  <c r="J12" i="22"/>
  <c r="I12" i="22"/>
  <c r="H12" i="22"/>
  <c r="G12" i="22"/>
  <c r="F12" i="22"/>
  <c r="E12" i="22"/>
  <c r="D12" i="22"/>
  <c r="C12" i="22"/>
  <c r="B12" i="22"/>
  <c r="AH11" i="22"/>
  <c r="AH10" i="22"/>
  <c r="AH9" i="22"/>
  <c r="AH8" i="22"/>
  <c r="AH7" i="22"/>
  <c r="AH4" i="22"/>
  <c r="B1" i="22"/>
  <c r="AE12" i="21"/>
  <c r="AD12" i="21"/>
  <c r="AC12" i="21"/>
  <c r="AB12" i="21"/>
  <c r="AA12" i="21"/>
  <c r="Z12" i="21"/>
  <c r="Y12" i="21"/>
  <c r="X12" i="21"/>
  <c r="W12" i="21"/>
  <c r="V12" i="21"/>
  <c r="U12" i="21"/>
  <c r="T12" i="21"/>
  <c r="S12" i="21"/>
  <c r="R12" i="21"/>
  <c r="Q12" i="21"/>
  <c r="P12" i="21"/>
  <c r="O12" i="21"/>
  <c r="N12" i="21"/>
  <c r="M12" i="21"/>
  <c r="L12" i="21"/>
  <c r="K12" i="21"/>
  <c r="J12" i="21"/>
  <c r="I12" i="21"/>
  <c r="H12" i="21"/>
  <c r="G12" i="21"/>
  <c r="F12" i="21"/>
  <c r="E12" i="21"/>
  <c r="D12" i="21"/>
  <c r="C12" i="21"/>
  <c r="B12" i="21"/>
  <c r="AH11" i="21"/>
  <c r="AH10" i="21"/>
  <c r="AH9" i="21"/>
  <c r="AH8" i="21"/>
  <c r="AH7" i="21"/>
  <c r="AH4" i="21"/>
  <c r="B1" i="21"/>
  <c r="AE12" i="20"/>
  <c r="AD12" i="20"/>
  <c r="AC12" i="20"/>
  <c r="AB12" i="20"/>
  <c r="AA12" i="20"/>
  <c r="Z12" i="20"/>
  <c r="Y12" i="20"/>
  <c r="X12" i="20"/>
  <c r="W12" i="20"/>
  <c r="V12" i="20"/>
  <c r="U12" i="20"/>
  <c r="T12" i="20"/>
  <c r="S12" i="20"/>
  <c r="R12" i="20"/>
  <c r="Q12" i="20"/>
  <c r="P12" i="20"/>
  <c r="O12" i="20"/>
  <c r="N12" i="20"/>
  <c r="M12" i="20"/>
  <c r="L12" i="20"/>
  <c r="K12" i="20"/>
  <c r="J12" i="20"/>
  <c r="I12" i="20"/>
  <c r="H12" i="20"/>
  <c r="G12" i="20"/>
  <c r="F12" i="20"/>
  <c r="E12" i="20"/>
  <c r="D12" i="20"/>
  <c r="C12" i="20"/>
  <c r="B12" i="20"/>
  <c r="AH4" i="20"/>
  <c r="B1" i="20"/>
  <c r="AE12" i="19"/>
  <c r="AD12" i="19"/>
  <c r="AC12" i="19"/>
  <c r="AB12" i="19"/>
  <c r="AA12" i="19"/>
  <c r="Z12" i="19"/>
  <c r="Y12" i="19"/>
  <c r="X12" i="19"/>
  <c r="W12" i="19"/>
  <c r="V12" i="19"/>
  <c r="U12" i="19"/>
  <c r="T12" i="19"/>
  <c r="S12" i="19"/>
  <c r="R12" i="19"/>
  <c r="Q12" i="19"/>
  <c r="P12" i="19"/>
  <c r="O12" i="19"/>
  <c r="N12" i="19"/>
  <c r="M12" i="19"/>
  <c r="L12" i="19"/>
  <c r="K12" i="19"/>
  <c r="J12" i="19"/>
  <c r="I12" i="19"/>
  <c r="H12" i="19"/>
  <c r="G12" i="19"/>
  <c r="F12" i="19"/>
  <c r="E12" i="19"/>
  <c r="D12" i="19"/>
  <c r="C12" i="19"/>
  <c r="B12" i="19"/>
  <c r="AH11" i="19"/>
  <c r="AH10" i="19"/>
  <c r="AH9" i="19"/>
  <c r="AH8" i="19"/>
  <c r="AH7" i="19"/>
  <c r="AH4" i="19"/>
  <c r="B1" i="19"/>
  <c r="AE12" i="18"/>
  <c r="AD12" i="18"/>
  <c r="AC12" i="18"/>
  <c r="AB12" i="18"/>
  <c r="AA12" i="18"/>
  <c r="Z12" i="18"/>
  <c r="Y12" i="18"/>
  <c r="X12" i="18"/>
  <c r="W12" i="18"/>
  <c r="V12" i="18"/>
  <c r="U12" i="18"/>
  <c r="T12" i="18"/>
  <c r="S12" i="18"/>
  <c r="R12" i="18"/>
  <c r="Q12" i="18"/>
  <c r="P12" i="18"/>
  <c r="O12" i="18"/>
  <c r="N12" i="18"/>
  <c r="M12" i="18"/>
  <c r="L12" i="18"/>
  <c r="K12" i="18"/>
  <c r="J12" i="18"/>
  <c r="I12" i="18"/>
  <c r="H12" i="18"/>
  <c r="G12" i="18"/>
  <c r="F12" i="18"/>
  <c r="E12" i="18"/>
  <c r="D12" i="18"/>
  <c r="C12" i="18"/>
  <c r="B12" i="18"/>
  <c r="AH12" i="18"/>
  <c r="AH4" i="18"/>
  <c r="B1" i="18"/>
  <c r="AE12" i="17"/>
  <c r="AD12" i="17"/>
  <c r="AC12" i="17"/>
  <c r="AB12" i="17"/>
  <c r="AA12" i="17"/>
  <c r="Z12" i="17"/>
  <c r="Y12" i="17"/>
  <c r="X12" i="17"/>
  <c r="W12" i="17"/>
  <c r="V12" i="17"/>
  <c r="U12" i="17"/>
  <c r="T12" i="17"/>
  <c r="S12" i="17"/>
  <c r="R12" i="17"/>
  <c r="Q12" i="17"/>
  <c r="P12" i="17"/>
  <c r="O12" i="17"/>
  <c r="N12" i="17"/>
  <c r="M12" i="17"/>
  <c r="L12" i="17"/>
  <c r="K12" i="17"/>
  <c r="J12" i="17"/>
  <c r="I12" i="17"/>
  <c r="H12" i="17"/>
  <c r="G12" i="17"/>
  <c r="F12" i="17"/>
  <c r="E12" i="17"/>
  <c r="D12" i="17"/>
  <c r="C12" i="17"/>
  <c r="B12" i="17"/>
  <c r="AH11" i="17"/>
  <c r="AH10" i="17"/>
  <c r="AH9" i="17"/>
  <c r="AH8" i="17"/>
  <c r="AH7" i="17"/>
  <c r="AH4" i="17"/>
  <c r="B1" i="17"/>
  <c r="B1" i="15"/>
  <c r="B1" i="5"/>
  <c r="AH12" i="17" l="1"/>
  <c r="AH12" i="21"/>
  <c r="AH12" i="22"/>
  <c r="AH12" i="25"/>
  <c r="AH12" i="20"/>
  <c r="AH12" i="19"/>
  <c r="AH12" i="24"/>
  <c r="AH4" i="5" l="1"/>
  <c r="AH4" i="15" l="1"/>
  <c r="C12" i="4" l="1"/>
  <c r="D12" i="4"/>
  <c r="E12" i="4"/>
  <c r="F12" i="4"/>
  <c r="G12" i="4"/>
  <c r="H12" i="4"/>
  <c r="I12" i="4"/>
  <c r="J12" i="4"/>
  <c r="K12" i="4"/>
  <c r="L12" i="4"/>
  <c r="M12" i="4"/>
  <c r="N12" i="4"/>
  <c r="O12" i="4"/>
  <c r="P12" i="4"/>
  <c r="Q12" i="4"/>
  <c r="R12" i="4"/>
  <c r="S12" i="4"/>
  <c r="T12" i="4"/>
  <c r="U12" i="4"/>
  <c r="V12" i="4"/>
  <c r="W12" i="4"/>
  <c r="X12" i="4"/>
  <c r="Y12" i="4"/>
  <c r="Z12" i="4"/>
  <c r="AA12" i="4"/>
  <c r="AB12" i="4"/>
  <c r="AC12" i="4"/>
  <c r="AD12" i="4"/>
  <c r="AE12" i="4"/>
  <c r="AF12" i="4"/>
  <c r="AG12" i="4"/>
  <c r="AH7" i="15" l="1"/>
  <c r="AH8" i="15"/>
  <c r="AH9" i="15"/>
  <c r="AH10" i="15"/>
  <c r="AH11" i="15"/>
  <c r="AH12" i="15" l="1"/>
  <c r="C12" i="15"/>
  <c r="D12" i="15"/>
  <c r="E12" i="15"/>
  <c r="F12" i="15"/>
  <c r="G12" i="15"/>
  <c r="H12" i="15"/>
  <c r="I12" i="15"/>
  <c r="J12" i="15"/>
  <c r="K12" i="15"/>
  <c r="L12" i="15"/>
  <c r="M12" i="15"/>
  <c r="N12" i="15"/>
  <c r="O12" i="15"/>
  <c r="P12" i="15"/>
  <c r="Q12" i="15"/>
  <c r="R12" i="15"/>
  <c r="S12" i="15"/>
  <c r="T12" i="15"/>
  <c r="U12" i="15"/>
  <c r="V12" i="15"/>
  <c r="W12" i="15"/>
  <c r="X12" i="15"/>
  <c r="Y12" i="15"/>
  <c r="Z12" i="15"/>
  <c r="AA12" i="15"/>
  <c r="AB12" i="15"/>
  <c r="AC12" i="15"/>
  <c r="B12" i="15" l="1"/>
  <c r="B12" i="5"/>
  <c r="B12" i="4"/>
  <c r="AH11" i="5" l="1"/>
  <c r="AH10" i="5"/>
  <c r="AH9" i="5"/>
  <c r="AH11" i="4"/>
  <c r="AE12" i="5"/>
  <c r="AD12" i="5"/>
  <c r="AC12" i="5"/>
  <c r="AB12" i="5"/>
  <c r="AA12" i="5"/>
  <c r="Z12" i="5"/>
  <c r="Y12" i="5"/>
  <c r="X12" i="5"/>
  <c r="W12" i="5"/>
  <c r="V12" i="5"/>
  <c r="U12" i="5"/>
  <c r="T12" i="5"/>
  <c r="S12" i="5"/>
  <c r="R12" i="5"/>
  <c r="Q12" i="5"/>
  <c r="P12" i="5"/>
  <c r="O12" i="5"/>
  <c r="N12" i="5"/>
  <c r="M12" i="5"/>
  <c r="L12" i="5"/>
  <c r="K12" i="5"/>
  <c r="J12" i="5"/>
  <c r="I12" i="5"/>
  <c r="H12" i="5"/>
  <c r="G12" i="5"/>
  <c r="F12" i="5"/>
  <c r="E12" i="5"/>
  <c r="D12" i="5"/>
  <c r="C12" i="5"/>
  <c r="AH8" i="5"/>
  <c r="AH7" i="5"/>
  <c r="AH12" i="5" l="1"/>
  <c r="AH7" i="4"/>
  <c r="AH8" i="4"/>
  <c r="AH12" i="4" l="1"/>
</calcChain>
</file>

<file path=xl/sharedStrings.xml><?xml version="1.0" encoding="utf-8"?>
<sst xmlns="http://schemas.openxmlformats.org/spreadsheetml/2006/main" count="622" uniqueCount="65">
  <si>
    <t>Calendrier des absences des employés</t>
  </si>
  <si>
    <t>Clé de motif d’absence</t>
  </si>
  <si>
    <t>Janvier</t>
  </si>
  <si>
    <t>Nom de l’employé</t>
  </si>
  <si>
    <t>Employé 1</t>
  </si>
  <si>
    <t>Employé 2</t>
  </si>
  <si>
    <t>Employé 3</t>
  </si>
  <si>
    <t>Employé 4</t>
  </si>
  <si>
    <t>Employé 5</t>
  </si>
  <si>
    <t>C</t>
  </si>
  <si>
    <t>Dates d’absence</t>
  </si>
  <si>
    <t>1</t>
  </si>
  <si>
    <t>Congé</t>
  </si>
  <si>
    <t>2</t>
  </si>
  <si>
    <t>3</t>
  </si>
  <si>
    <t>P</t>
  </si>
  <si>
    <t>4</t>
  </si>
  <si>
    <t>M</t>
  </si>
  <si>
    <t>5</t>
  </si>
  <si>
    <t>Personnel</t>
  </si>
  <si>
    <t>6</t>
  </si>
  <si>
    <t>7</t>
  </si>
  <si>
    <t>8</t>
  </si>
  <si>
    <t>9</t>
  </si>
  <si>
    <t>Maladie</t>
  </si>
  <si>
    <t>10</t>
  </si>
  <si>
    <t>11</t>
  </si>
  <si>
    <t>12</t>
  </si>
  <si>
    <t>Personnalisé 1</t>
  </si>
  <si>
    <t>13</t>
  </si>
  <si>
    <t>14</t>
  </si>
  <si>
    <t>15</t>
  </si>
  <si>
    <t>16</t>
  </si>
  <si>
    <t>Personnalisé 2</t>
  </si>
  <si>
    <t>17</t>
  </si>
  <si>
    <t>18</t>
  </si>
  <si>
    <t>19</t>
  </si>
  <si>
    <t>20</t>
  </si>
  <si>
    <t>21</t>
  </si>
  <si>
    <t>22</t>
  </si>
  <si>
    <t>23</t>
  </si>
  <si>
    <t>24</t>
  </si>
  <si>
    <t>25</t>
  </si>
  <si>
    <t>26</t>
  </si>
  <si>
    <t>27</t>
  </si>
  <si>
    <t>28</t>
  </si>
  <si>
    <t>29</t>
  </si>
  <si>
    <t>30</t>
  </si>
  <si>
    <t>31</t>
  </si>
  <si>
    <t>Entrez l’année :</t>
  </si>
  <si>
    <t>Total des jours</t>
  </si>
  <si>
    <t>Février</t>
  </si>
  <si>
    <t xml:space="preserve"> </t>
  </si>
  <si>
    <t xml:space="preserve">  </t>
  </si>
  <si>
    <t>Mars</t>
  </si>
  <si>
    <t>Avril</t>
  </si>
  <si>
    <t>Mai</t>
  </si>
  <si>
    <t>Juin</t>
  </si>
  <si>
    <t>Juillet</t>
  </si>
  <si>
    <t>Août</t>
  </si>
  <si>
    <t>Septembre</t>
  </si>
  <si>
    <t>Octobre</t>
  </si>
  <si>
    <t>Novembre</t>
  </si>
  <si>
    <t>Décembre</t>
  </si>
  <si>
    <t>Noms des employés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</si>
</sst>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 &quot;€&quot;_-;\-* #,##0\ &quot;€&quot;_-;_-* &quot;-&quot;\ &quot;€&quot;_-;_-@_-"/>
    <numFmt numFmtId="165" formatCode="_-* #,##0.00\ &quot;€&quot;_-;\-* #,##0.00\ &quot;€&quot;_-;_-* &quot;-&quot;??\ &quot;€&quot;_-;_-@_-"/>
    <numFmt numFmtId="166" formatCode="_(* #,##0_);_(* \(#,##0\);_(* &quot;-&quot;_);_(@_)"/>
    <numFmt numFmtId="167" formatCode="_(* #,##0.00_);_(* \(#,##0.00\);_(* &quot;-&quot;??_);_(@_)"/>
    <numFmt numFmtId="168" formatCode="0;0;"/>
  </numFmts>
  <fonts count="19"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26"/>
      <color theme="3" tint="-0.24994659260841701"/>
      <name val="Calibri"/>
      <family val="2"/>
      <scheme val="major"/>
    </font>
    <font>
      <b/>
      <sz val="18"/>
      <color theme="4" tint="-0.24994659260841701"/>
      <name val="Calibri"/>
      <family val="2"/>
      <scheme val="minor"/>
    </font>
    <font>
      <b/>
      <sz val="26"/>
      <color theme="3"/>
      <name val="Calibri"/>
      <family val="2"/>
      <scheme val="minor"/>
    </font>
    <font>
      <sz val="11"/>
      <color theme="4" tint="-0.499984740745262"/>
      <name val="Calibri"/>
      <family val="2"/>
      <scheme val="minor"/>
    </font>
    <font>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s>
  <fills count="33">
    <fill>
      <patternFill patternType="none"/>
    </fill>
    <fill>
      <patternFill patternType="gray125"/>
    </fill>
    <fill>
      <patternFill patternType="solid">
        <fgColor theme="2"/>
        <bgColor indexed="64"/>
      </patternFill>
    </fill>
    <fill>
      <patternFill patternType="solid">
        <fgColor theme="7"/>
        <bgColor indexed="64"/>
      </patternFill>
    </fill>
    <fill>
      <patternFill patternType="solid">
        <fgColor theme="7" tint="0.79998168889431442"/>
        <bgColor indexed="65"/>
      </patternFill>
    </fill>
    <fill>
      <patternFill patternType="solid">
        <fgColor theme="7" tint="0.39997558519241921"/>
        <bgColor indexed="65"/>
      </patternFill>
    </fill>
    <fill>
      <patternFill patternType="solid">
        <fgColor theme="3" tint="0.79998168889431442"/>
        <bgColor indexed="64"/>
      </patternFill>
    </fill>
    <fill>
      <patternFill patternType="solid">
        <fgColor theme="3" tint="-0.24994659260841701"/>
        <bgColor indexed="64"/>
      </patternFill>
    </fill>
    <fill>
      <patternFill patternType="solid">
        <fgColor theme="3" tint="0.39994506668294322"/>
        <bgColor indexed="64"/>
      </patternFill>
    </fill>
    <fill>
      <patternFill patternType="solid">
        <fgColor theme="7" tint="0.59996337778862885"/>
        <bgColor indexed="64"/>
      </patternFill>
    </fill>
    <fill>
      <patternFill patternType="solid">
        <fgColor theme="5" tint="0.59999389629810485"/>
        <bgColor indexed="65"/>
      </patternFill>
    </fill>
    <fill>
      <patternFill patternType="solid">
        <fgColor theme="6"/>
      </patternFill>
    </fill>
    <fill>
      <patternFill patternType="solid">
        <fgColor theme="6" tint="0.59999389629810485"/>
        <bgColor indexed="65"/>
      </patternFill>
    </fill>
    <fill>
      <patternFill patternType="solid">
        <fgColor theme="6" tint="0.39997558519241921"/>
        <bgColor indexed="65"/>
      </patternFill>
    </fill>
    <fill>
      <patternFill patternType="solid">
        <fgColor theme="8" tint="0.59999389629810485"/>
        <bgColor indexed="65"/>
      </patternFill>
    </fill>
    <fill>
      <patternFill patternType="solid">
        <fgColor theme="4" tint="0.39994506668294322"/>
        <bgColor indexed="64"/>
      </patternFill>
    </fill>
    <fill>
      <patternFill patternType="solid">
        <fgColor theme="4" tint="0.59996337778862885"/>
        <bgColor indexed="64"/>
      </patternFill>
    </fill>
    <fill>
      <patternFill patternType="solid">
        <fgColor theme="4" tint="0.79998168889431442"/>
        <bgColor indexed="64"/>
      </patternFill>
    </fill>
    <fill>
      <patternFill patternType="solid">
        <fgColor rgb="FFF8E3E0"/>
        <bgColor indexed="64"/>
      </patternFill>
    </fill>
    <fill>
      <patternFill patternType="solid">
        <fgColor theme="5" tint="0.39994506668294322"/>
        <bgColor indexed="64"/>
      </patternFill>
    </fill>
    <fill>
      <patternFill patternType="solid">
        <fgColor theme="6" tint="0.599963377788628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5" tint="0.79998168889431442"/>
        <bgColor indexed="65"/>
      </patternFill>
    </fill>
    <fill>
      <patternFill patternType="solid">
        <fgColor theme="5"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39997558519241921"/>
        <bgColor indexed="65"/>
      </patternFill>
    </fill>
  </fills>
  <borders count="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horizontal="left" vertical="center"/>
    </xf>
    <xf numFmtId="0" fontId="6" fillId="0" borderId="0" applyNumberFormat="0" applyFill="0" applyBorder="0" applyProtection="0">
      <alignment vertical="top"/>
    </xf>
    <xf numFmtId="0" fontId="4" fillId="0" borderId="0" applyNumberFormat="0" applyFill="0" applyBorder="0" applyProtection="0">
      <alignment vertical="top"/>
    </xf>
    <xf numFmtId="0" fontId="5" fillId="2" borderId="0" applyNumberFormat="0" applyBorder="0" applyProtection="0">
      <alignment horizontal="center" vertical="center"/>
    </xf>
    <xf numFmtId="0" fontId="2" fillId="20" borderId="0" applyNumberFormat="0" applyProtection="0">
      <alignment horizontal="right" vertical="center" indent="1"/>
    </xf>
    <xf numFmtId="0" fontId="1" fillId="0" borderId="0" applyNumberFormat="0" applyFill="0" applyBorder="0" applyProtection="0">
      <alignment horizontal="left" vertical="center" indent="2"/>
    </xf>
    <xf numFmtId="0" fontId="3" fillId="3" borderId="0" applyNumberFormat="0" applyBorder="0" applyAlignment="0" applyProtection="0"/>
    <xf numFmtId="0" fontId="1" fillId="4" borderId="0" applyNumberFormat="0" applyBorder="0" applyProtection="0">
      <alignment horizontal="center" vertical="center"/>
    </xf>
    <xf numFmtId="0" fontId="2" fillId="9" borderId="0" applyNumberFormat="0" applyBorder="0" applyAlignment="0" applyProtection="0"/>
    <xf numFmtId="0" fontId="1" fillId="5" borderId="0" applyNumberFormat="0" applyBorder="0" applyAlignment="0" applyProtection="0"/>
    <xf numFmtId="0" fontId="3" fillId="7" borderId="0" applyNumberFormat="0" applyBorder="0" applyAlignment="0" applyProtection="0"/>
    <xf numFmtId="0" fontId="1" fillId="6" borderId="0" applyNumberFormat="0" applyBorder="0" applyAlignment="0" applyProtection="0"/>
    <xf numFmtId="0" fontId="2" fillId="15" borderId="0" applyNumberFormat="0" applyBorder="0" applyAlignment="0" applyProtection="0"/>
    <xf numFmtId="0" fontId="1" fillId="8" borderId="0" applyNumberFormat="0" applyBorder="0" applyAlignment="0" applyProtection="0"/>
    <xf numFmtId="0" fontId="3" fillId="15" borderId="0" applyNumberFormat="0" applyBorder="0" applyAlignment="0" applyProtection="0"/>
    <xf numFmtId="0" fontId="1" fillId="18" borderId="0" applyNumberFormat="0" applyBorder="0" applyAlignment="0" applyProtection="0"/>
    <xf numFmtId="0" fontId="2" fillId="17"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2" fillId="10" borderId="0" applyNumberFormat="0" applyBorder="0" applyAlignment="0" applyProtection="0"/>
    <xf numFmtId="0" fontId="3" fillId="11" borderId="0" applyNumberFormat="0" applyBorder="0" applyAlignment="0" applyProtection="0"/>
    <xf numFmtId="0" fontId="1" fillId="2" borderId="0" applyNumberFormat="0" applyBorder="0" applyAlignment="0" applyProtection="0"/>
    <xf numFmtId="0" fontId="2" fillId="12" borderId="0" applyNumberFormat="0" applyBorder="0" applyProtection="0">
      <alignment horizontal="left" vertical="center" indent="1"/>
    </xf>
    <xf numFmtId="0" fontId="2" fillId="13" borderId="0" applyNumberFormat="0" applyBorder="0" applyAlignment="0" applyProtection="0"/>
    <xf numFmtId="0" fontId="2" fillId="14" borderId="0" applyNumberFormat="0" applyBorder="0" applyAlignment="0" applyProtection="0"/>
    <xf numFmtId="1" fontId="1" fillId="0" borderId="0" applyFill="0" applyBorder="0" applyProtection="0">
      <alignment horizontal="center" vertical="center"/>
    </xf>
    <xf numFmtId="0" fontId="1" fillId="0" borderId="0" applyNumberFormat="0" applyFill="0" applyBorder="0">
      <alignment horizontal="left" vertical="center" wrapText="1" indent="2"/>
    </xf>
    <xf numFmtId="0" fontId="7" fillId="0" borderId="0">
      <alignment horizontal="center"/>
    </xf>
    <xf numFmtId="167"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9" fillId="21" borderId="0" applyNumberFormat="0" applyBorder="0" applyAlignment="0" applyProtection="0"/>
    <xf numFmtId="0" fontId="10" fillId="22" borderId="0" applyNumberFormat="0" applyBorder="0" applyAlignment="0" applyProtection="0"/>
    <xf numFmtId="0" fontId="11" fillId="23" borderId="0" applyNumberFormat="0" applyBorder="0" applyAlignment="0" applyProtection="0"/>
    <xf numFmtId="0" fontId="12" fillId="24" borderId="1" applyNumberFormat="0" applyAlignment="0" applyProtection="0"/>
    <xf numFmtId="0" fontId="13" fillId="25" borderId="2" applyNumberFormat="0" applyAlignment="0" applyProtection="0"/>
    <xf numFmtId="0" fontId="14" fillId="25" borderId="1" applyNumberFormat="0" applyAlignment="0" applyProtection="0"/>
    <xf numFmtId="0" fontId="15" fillId="0" borderId="3" applyNumberFormat="0" applyFill="0" applyAlignment="0" applyProtection="0"/>
    <xf numFmtId="0" fontId="16" fillId="26" borderId="4" applyNumberFormat="0" applyAlignment="0" applyProtection="0"/>
    <xf numFmtId="0" fontId="17" fillId="0" borderId="0" applyNumberFormat="0" applyFill="0" applyBorder="0" applyAlignment="0" applyProtection="0"/>
    <xf numFmtId="0" fontId="1" fillId="27" borderId="5" applyNumberFormat="0" applyFont="0" applyAlignment="0" applyProtection="0"/>
    <xf numFmtId="0" fontId="18" fillId="0" borderId="0" applyNumberFormat="0" applyFill="0" applyBorder="0" applyAlignment="0" applyProtection="0"/>
    <xf numFmtId="0" fontId="1" fillId="28" borderId="0" applyNumberFormat="0" applyBorder="0" applyAlignment="0" applyProtection="0"/>
    <xf numFmtId="0" fontId="1" fillId="29" borderId="0" applyNumberFormat="0" applyBorder="0" applyAlignment="0" applyProtection="0"/>
    <xf numFmtId="0" fontId="3"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alignment horizontal="left" vertical="center"/>
    </xf>
    <xf numFmtId="0" fontId="1" fillId="0" borderId="0" xfId="26">
      <alignment horizontal="left" vertical="center" wrapText="1" indent="2"/>
    </xf>
    <xf numFmtId="0" fontId="0" fillId="0" borderId="0" xfId="0" applyAlignment="1">
      <alignment horizontal="center" vertical="center"/>
    </xf>
    <xf numFmtId="0" fontId="2" fillId="15" borderId="0" xfId="12" applyAlignment="1" applyProtection="1">
      <alignment horizontal="center" vertical="center"/>
    </xf>
    <xf numFmtId="0" fontId="2" fillId="10" borderId="0" xfId="19" applyAlignment="1" applyProtection="1">
      <alignment horizontal="center" vertical="center"/>
    </xf>
    <xf numFmtId="0" fontId="2" fillId="13" borderId="0" xfId="23" applyAlignment="1" applyProtection="1">
      <alignment horizontal="center" vertical="center"/>
    </xf>
    <xf numFmtId="168" fontId="2" fillId="9" borderId="0" xfId="8" applyNumberFormat="1" applyAlignment="1" applyProtection="1">
      <alignment horizontal="center" vertical="center"/>
    </xf>
    <xf numFmtId="168" fontId="2" fillId="14" borderId="0" xfId="24" applyNumberFormat="1" applyAlignment="1" applyProtection="1">
      <alignment horizontal="center" vertical="center"/>
    </xf>
    <xf numFmtId="0" fontId="1" fillId="0" borderId="0" xfId="26" applyFill="1" applyBorder="1">
      <alignment horizontal="left" vertical="center" wrapText="1" indent="2"/>
    </xf>
    <xf numFmtId="1" fontId="1" fillId="0" borderId="0" xfId="25" applyFill="1" applyBorder="1" applyProtection="1">
      <alignment horizontal="center" vertical="center"/>
    </xf>
    <xf numFmtId="0" fontId="5" fillId="2" borderId="0" xfId="3" applyProtection="1">
      <alignment horizontal="center" vertical="center"/>
    </xf>
    <xf numFmtId="168" fontId="0" fillId="0" borderId="0" xfId="0" applyNumberFormat="1" applyAlignment="1">
      <alignment horizontal="center" vertical="center"/>
    </xf>
    <xf numFmtId="0" fontId="6" fillId="0" borderId="0" xfId="1" applyProtection="1">
      <alignment vertical="top"/>
    </xf>
    <xf numFmtId="0" fontId="1" fillId="2" borderId="0" xfId="21" applyBorder="1" applyAlignment="1" applyProtection="1">
      <alignment horizontal="left" vertical="center" indent="1"/>
    </xf>
    <xf numFmtId="0" fontId="0" fillId="0" borderId="0" xfId="21" applyFont="1" applyFill="1" applyBorder="1" applyAlignment="1" applyProtection="1">
      <alignment horizontal="center" vertical="center"/>
    </xf>
    <xf numFmtId="0" fontId="0" fillId="0" borderId="0" xfId="0" applyAlignment="1">
      <alignment horizontal="left" vertical="center" wrapText="1"/>
    </xf>
    <xf numFmtId="0" fontId="2" fillId="20" borderId="0" xfId="4" applyProtection="1">
      <alignment horizontal="right" vertical="center" indent="1"/>
    </xf>
    <xf numFmtId="0" fontId="7" fillId="0" borderId="0" xfId="27">
      <alignment horizontal="center"/>
    </xf>
    <xf numFmtId="0" fontId="0" fillId="0" borderId="0" xfId="0" applyAlignment="1">
      <alignment horizontal="left" vertical="center" indent="1"/>
    </xf>
    <xf numFmtId="0" fontId="6" fillId="0" borderId="0" xfId="1">
      <alignment vertical="top"/>
    </xf>
    <xf numFmtId="0" fontId="8" fillId="0" borderId="0" xfId="0" applyFont="1" applyAlignment="1">
      <alignment horizontal="center" vertical="center"/>
    </xf>
    <xf numFmtId="0" fontId="5" fillId="2" borderId="0" xfId="3" applyProtection="1">
      <alignment horizontal="center" vertical="center"/>
    </xf>
    <xf numFmtId="0" fontId="1" fillId="2" borderId="0" xfId="21" applyAlignment="1" applyProtection="1">
      <alignment horizontal="left" vertical="center"/>
    </xf>
  </cellXfs>
  <cellStyles count="49">
    <cellStyle name="20% — акцент1" xfId="15" builtinId="30" customBuiltin="1"/>
    <cellStyle name="20% — акцент2" xfId="44" builtinId="34" customBuiltin="1"/>
    <cellStyle name="20% — акцент3" xfId="21" builtinId="38" customBuiltin="1"/>
    <cellStyle name="20% — акцент4" xfId="7" builtinId="42" customBuiltin="1"/>
    <cellStyle name="20% — акцент5" xfId="47" builtinId="46" customBuiltin="1"/>
    <cellStyle name="20% — акцент6" xfId="11" builtinId="50" customBuiltin="1"/>
    <cellStyle name="40% — акцент1" xfId="16" builtinId="31" customBuiltin="1"/>
    <cellStyle name="40% — акцент2" xfId="19" builtinId="35" customBuiltin="1"/>
    <cellStyle name="40% — акцент3" xfId="22" builtinId="39" customBuiltin="1"/>
    <cellStyle name="40% — акцент4" xfId="8" builtinId="43" customBuiltin="1"/>
    <cellStyle name="40% — акцент5" xfId="24" builtinId="47" customBuiltin="1"/>
    <cellStyle name="40% — акцент6" xfId="12" builtinId="51" customBuiltin="1"/>
    <cellStyle name="60% — акцент1" xfId="17" builtinId="32" customBuiltin="1"/>
    <cellStyle name="60% — акцент2" xfId="45" builtinId="36" customBuiltin="1"/>
    <cellStyle name="60% — акцент3" xfId="23" builtinId="40" customBuiltin="1"/>
    <cellStyle name="60% — акцент4" xfId="9" builtinId="44" customBuiltin="1"/>
    <cellStyle name="60% — акцент5" xfId="48" builtinId="48" customBuiltin="1"/>
    <cellStyle name="60% — акцент6" xfId="13" builtinId="52" customBuiltin="1"/>
    <cellStyle name="Employé" xfId="26" xr:uid="{00000000-0005-0000-0000-000013000000}"/>
    <cellStyle name="Étiquette" xfId="27" xr:uid="{00000000-0005-0000-0000-000018000000}"/>
    <cellStyle name="Акцент1" xfId="14" builtinId="29" customBuiltin="1"/>
    <cellStyle name="Акцент2" xfId="18" builtinId="33" customBuiltin="1"/>
    <cellStyle name="Акцент3" xfId="20" builtinId="37" customBuiltin="1"/>
    <cellStyle name="Акцент4" xfId="6" builtinId="41" customBuiltin="1"/>
    <cellStyle name="Акцент5" xfId="46" builtinId="45" customBuiltin="1"/>
    <cellStyle name="Акцент6" xfId="10" builtinId="49" customBuiltin="1"/>
    <cellStyle name="Ввод " xfId="36" builtinId="20" customBuiltin="1"/>
    <cellStyle name="Вывод" xfId="37" builtinId="21" customBuiltin="1"/>
    <cellStyle name="Вычисление" xfId="38" builtinId="22" customBuiltin="1"/>
    <cellStyle name="Денежный" xfId="30" builtinId="4" customBuiltin="1"/>
    <cellStyle name="Денежный [0]" xfId="31" builtinId="7"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25" builtinId="25" customBuiltin="1"/>
    <cellStyle name="Контрольная ячейка" xfId="40" builtinId="23" customBuiltin="1"/>
    <cellStyle name="Название" xfId="1" builtinId="15" customBuiltin="1"/>
    <cellStyle name="Нейтральный" xfId="35" builtinId="28" customBuiltin="1"/>
    <cellStyle name="Обычный" xfId="0" builtinId="0" customBuiltin="1"/>
    <cellStyle name="Плохой" xfId="34" builtinId="27" customBuiltin="1"/>
    <cellStyle name="Пояснение" xfId="43" builtinId="53" customBuiltin="1"/>
    <cellStyle name="Примечание" xfId="42" builtinId="10" customBuiltin="1"/>
    <cellStyle name="Процентный" xfId="32" builtinId="5" customBuiltin="1"/>
    <cellStyle name="Связанная ячейка" xfId="39" builtinId="24" customBuiltin="1"/>
    <cellStyle name="Текст предупреждения" xfId="41" builtinId="11" customBuiltin="1"/>
    <cellStyle name="Финансовый" xfId="28" builtinId="3" customBuiltin="1"/>
    <cellStyle name="Финансовый [0]" xfId="29" builtinId="6" customBuiltin="1"/>
    <cellStyle name="Хороший" xfId="33" builtinId="26" customBuiltin="1"/>
  </cellStyles>
  <dxfs count="903">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alignment horizontal="left" vertical="center" textRotation="0" wrapText="0" indent="1" justifyLastLine="0" shrinkToFit="0" readingOrder="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b val="0"/>
        <i val="0"/>
        <color theme="3"/>
      </font>
      <border>
        <vertical/>
        <horizontal/>
      </border>
    </dxf>
    <dxf>
      <font>
        <color theme="0"/>
      </font>
      <border>
        <vertical/>
        <horizontal/>
      </border>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b val="0"/>
        <i val="0"/>
        <strike val="0"/>
        <condense val="0"/>
        <extend val="0"/>
        <outline val="0"/>
        <shadow val="0"/>
        <u val="none"/>
        <vertAlign val="baseline"/>
        <sz val="11"/>
        <color theme="1"/>
        <name val="Calibri"/>
        <family val="2"/>
        <scheme val="minor"/>
      </font>
      <alignment horizontal="left" vertical="center" textRotation="0" wrapText="1" indent="2" justifyLastLine="0" shrinkToFit="0" readingOrder="0"/>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numFmt numFmtId="1" formatCode="0"/>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numFmt numFmtId="1" formatCode="0"/>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numFmt numFmtId="1" formatCode="0"/>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numFmt numFmtId="1" formatCode="0"/>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fill>
        <patternFill patternType="none">
          <fgColor indexed="64"/>
          <bgColor indexed="65"/>
        </patternFill>
      </fill>
      <protection locked="1" hidden="0"/>
    </dxf>
    <dxf>
      <protection locked="1" hidden="0"/>
    </dxf>
    <dxf>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fill>
        <patternFill patternType="none">
          <fgColor indexed="64"/>
          <bgColor indexed="65"/>
        </patternFill>
      </fill>
    </dxf>
    <dxf>
      <protection locked="1" hidden="0"/>
    </dxf>
    <dxf>
      <protection locked="1" hidden="0"/>
    </dxf>
    <dxf>
      <protection locked="1" hidden="0"/>
    </dxf>
    <dxf>
      <fill>
        <patternFill patternType="solid">
          <bgColor theme="6" tint="0.79998168889431442"/>
        </patternFill>
      </fill>
      <border diagonalUp="0" diagonalDown="0">
        <left/>
        <right/>
        <top style="thin">
          <color theme="0" tint="-0.14996795556505021"/>
        </top>
        <bottom style="medium">
          <color theme="2" tint="-0.499984740745262"/>
        </bottom>
        <vertical/>
        <horizontal/>
      </border>
    </dxf>
    <dxf>
      <font>
        <color theme="1"/>
      </font>
      <fill>
        <patternFill patternType="solid">
          <bgColor theme="6" tint="0.79998168889431442"/>
        </patternFill>
      </fill>
      <border diagonalUp="0" diagonalDown="0">
        <left/>
        <right/>
        <top style="thin">
          <color theme="0" tint="-0.14993743705557422"/>
        </top>
        <bottom style="medium">
          <color theme="2" tint="-0.499984740745262"/>
        </bottom>
        <vertical/>
        <horizontal style="thin">
          <color theme="0" tint="-0.14993743705557422"/>
        </horizontal>
      </border>
    </dxf>
    <dxf>
      <font>
        <color theme="1"/>
      </font>
      <fill>
        <patternFill patternType="solid">
          <bgColor theme="2"/>
        </patternFill>
      </fill>
      <border diagonalUp="0" diagonalDown="0">
        <left/>
        <right/>
        <top/>
        <bottom style="thin">
          <color theme="0" tint="-0.14996795556505021"/>
        </bottom>
        <vertical/>
        <horizontal/>
      </border>
    </dxf>
    <dxf>
      <font>
        <color theme="1"/>
      </font>
      <fill>
        <patternFill patternType="none">
          <bgColor auto="1"/>
        </patternFill>
      </fill>
      <border diagonalUp="0" diagonalDown="0">
        <left/>
        <right/>
        <top style="thin">
          <color theme="0" tint="-0.14996795556505021"/>
        </top>
        <bottom style="thin">
          <color theme="0" tint="-0.14993743705557422"/>
        </bottom>
        <vertical/>
        <horizontal/>
      </border>
    </dxf>
    <dxf>
      <fill>
        <patternFill>
          <bgColor theme="0" tint="-0.14996795556505021"/>
        </patternFill>
      </fill>
      <border>
        <left style="thin">
          <color theme="0"/>
        </left>
        <right style="thin">
          <color theme="0"/>
        </right>
        <vertical style="thin">
          <color theme="0"/>
        </vertical>
      </border>
    </dxf>
    <dxf>
      <fill>
        <patternFill>
          <bgColor theme="0" tint="-4.9989318521683403E-2"/>
        </patternFill>
      </fill>
      <border>
        <left style="thin">
          <color theme="0"/>
        </left>
        <right style="thin">
          <color theme="0"/>
        </right>
        <vertical style="thin">
          <color theme="0"/>
        </vertical>
      </border>
    </dxf>
    <dxf>
      <fill>
        <patternFill>
          <bgColor theme="0" tint="-0.14996795556505021"/>
        </patternFill>
      </fill>
    </dxf>
    <dxf>
      <fill>
        <patternFill patternType="solid">
          <fgColor theme="4" tint="0.79992065187536243"/>
          <bgColor theme="0" tint="-4.9989318521683403E-2"/>
        </patternFill>
      </fill>
    </dxf>
    <dxf>
      <font>
        <color theme="1"/>
      </font>
      <fill>
        <patternFill patternType="none">
          <bgColor auto="1"/>
        </patternFill>
      </fill>
      <border diagonalUp="0" diagonalDown="0">
        <left/>
        <right/>
        <top/>
        <bottom style="thin">
          <color theme="0" tint="-0.14996795556505021"/>
        </bottom>
        <vertical/>
        <horizontal style="thin">
          <color theme="0" tint="-0.14996795556505021"/>
        </horizontal>
      </border>
    </dxf>
    <dxf>
      <font>
        <color theme="1"/>
      </font>
      <fill>
        <patternFill patternType="none">
          <bgColor auto="1"/>
        </patternFill>
      </fill>
      <border>
        <left/>
        <right/>
        <top style="thin">
          <color theme="2" tint="-9.9917600024414813E-2"/>
        </top>
        <bottom style="thin">
          <color theme="2" tint="-9.9948118533890809E-2"/>
        </bottom>
        <vertical/>
        <horizontal style="thin">
          <color theme="2" tint="-9.9917600024414813E-2"/>
        </horizontal>
      </border>
    </dxf>
    <dxf>
      <font>
        <color theme="1"/>
      </font>
      <fill>
        <patternFill>
          <bgColor theme="6" tint="0.79998168889431442"/>
        </patternFill>
      </fill>
      <border diagonalUp="0" diagonalDown="0">
        <left style="thin">
          <color theme="0"/>
        </left>
        <right style="thin">
          <color theme="0"/>
        </right>
        <top/>
        <bottom style="medium">
          <color theme="2" tint="-0.499984740745262"/>
        </bottom>
        <vertical style="thin">
          <color theme="0"/>
        </vertical>
        <horizontal/>
      </border>
    </dxf>
    <dxf>
      <font>
        <color theme="0"/>
      </font>
      <fill>
        <patternFill>
          <bgColor theme="3"/>
        </patternFill>
      </fill>
    </dxf>
    <dxf>
      <font>
        <color theme="1"/>
      </font>
      <border diagonalUp="0" diagonalDown="0">
        <left/>
        <right/>
        <top/>
        <bottom/>
        <vertical style="thin">
          <color theme="0"/>
        </vertical>
        <horizontal/>
      </border>
    </dxf>
  </dxfs>
  <tableStyles count="1" defaultPivotStyle="PivotStyleLight16">
    <tableStyle name="Tableau des absences des employés" pivot="0" count="13" xr9:uid="{00000000-0011-0000-FFFF-FFFF00000000}">
      <tableStyleElement type="wholeTable" dxfId="902"/>
      <tableStyleElement type="headerRow" dxfId="901"/>
      <tableStyleElement type="totalRow" dxfId="900"/>
      <tableStyleElement type="firstColumn" dxfId="899"/>
      <tableStyleElement type="lastColumn" dxfId="898"/>
      <tableStyleElement type="firstRowStripe" dxfId="897"/>
      <tableStyleElement type="secondRowStripe" dxfId="896"/>
      <tableStyleElement type="firstColumnStripe" dxfId="895"/>
      <tableStyleElement type="secondColumnStripe" dxfId="894"/>
      <tableStyleElement type="firstHeaderCell" dxfId="893"/>
      <tableStyleElement type="lastHeaderCell" dxfId="892"/>
      <tableStyleElement type="firstTotalCell" dxfId="891"/>
      <tableStyleElement type="lastTotalCell" dxfId="89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Janvier" displayName="Janvier" ref="B6:AH12" totalsRowCount="1" headerRowDxfId="889" dataDxfId="888" totalsRowDxfId="887">
  <autoFilter ref="B6:AH11"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autoFilter>
  <tableColumns count="33">
    <tableColumn id="1" xr3:uid="{00000000-0010-0000-0000-000001000000}" name="Nom de l’employé" totalsRowFunction="custom" dataDxfId="886" totalsRowDxfId="885" dataCellStyle="Employé">
      <totalsRowFormula>NomMois&amp;" Total"</totalsRowFormula>
    </tableColumn>
    <tableColumn id="2" xr3:uid="{00000000-0010-0000-0000-000002000000}" name="1" totalsRowFunction="custom" dataDxfId="884" totalsRowDxfId="883">
      <totalsRowFormula>SUBTOTAL(103,Janvier!$C$7:$C$11)</totalsRowFormula>
    </tableColumn>
    <tableColumn id="3" xr3:uid="{00000000-0010-0000-0000-000003000000}" name="2" totalsRowFunction="custom" dataDxfId="882" totalsRowDxfId="881">
      <totalsRowFormula>SUBTOTAL(103,Janvier!$D$7:$D$11)</totalsRowFormula>
    </tableColumn>
    <tableColumn id="4" xr3:uid="{00000000-0010-0000-0000-000004000000}" name="3" totalsRowFunction="custom" dataDxfId="880" totalsRowDxfId="879">
      <totalsRowFormula>SUBTOTAL(103,Janvier!$E$7:$E$11)</totalsRowFormula>
    </tableColumn>
    <tableColumn id="5" xr3:uid="{00000000-0010-0000-0000-000005000000}" name="4" totalsRowFunction="custom" dataDxfId="878" totalsRowDxfId="877">
      <totalsRowFormula>SUBTOTAL(103,Janvier!$F$7:$F$11)</totalsRowFormula>
    </tableColumn>
    <tableColumn id="6" xr3:uid="{00000000-0010-0000-0000-000006000000}" name="5" totalsRowFunction="custom" totalsRowDxfId="876">
      <totalsRowFormula>SUBTOTAL(103,Janvier!$G$7:$G$11)</totalsRowFormula>
    </tableColumn>
    <tableColumn id="7" xr3:uid="{00000000-0010-0000-0000-000007000000}" name="6" totalsRowFunction="custom" dataDxfId="875" totalsRowDxfId="874">
      <totalsRowFormula>SUBTOTAL(103,Janvier!$H$7:$H$11)</totalsRowFormula>
    </tableColumn>
    <tableColumn id="8" xr3:uid="{00000000-0010-0000-0000-000008000000}" name="7" totalsRowFunction="custom" dataDxfId="873" totalsRowDxfId="872">
      <totalsRowFormula>SUBTOTAL(103,Janvier!$I$7:$I$11)</totalsRowFormula>
    </tableColumn>
    <tableColumn id="9" xr3:uid="{00000000-0010-0000-0000-000009000000}" name="8" totalsRowFunction="custom" dataDxfId="871" totalsRowDxfId="870">
      <totalsRowFormula>SUBTOTAL(103,Janvier!$J$7:$J$11)</totalsRowFormula>
    </tableColumn>
    <tableColumn id="10" xr3:uid="{00000000-0010-0000-0000-00000A000000}" name="9" totalsRowFunction="custom" dataDxfId="869" totalsRowDxfId="868">
      <totalsRowFormula>SUBTOTAL(103,Janvier!$K$7:$K$11)</totalsRowFormula>
    </tableColumn>
    <tableColumn id="11" xr3:uid="{00000000-0010-0000-0000-00000B000000}" name="10" totalsRowFunction="custom" dataDxfId="867" totalsRowDxfId="866">
      <totalsRowFormula>SUBTOTAL(103,Janvier!$L$7:$L$11)</totalsRowFormula>
    </tableColumn>
    <tableColumn id="12" xr3:uid="{00000000-0010-0000-0000-00000C000000}" name="11" totalsRowFunction="custom" dataDxfId="865" totalsRowDxfId="864">
      <totalsRowFormula>SUBTOTAL(103,Janvier!$M$7:$M$11)</totalsRowFormula>
    </tableColumn>
    <tableColumn id="13" xr3:uid="{00000000-0010-0000-0000-00000D000000}" name="12" totalsRowFunction="custom" dataDxfId="863" totalsRowDxfId="862">
      <totalsRowFormula>SUBTOTAL(103,Janvier!$N$7:$N$11)</totalsRowFormula>
    </tableColumn>
    <tableColumn id="14" xr3:uid="{00000000-0010-0000-0000-00000E000000}" name="13" totalsRowFunction="custom" dataDxfId="861" totalsRowDxfId="860">
      <totalsRowFormula>SUBTOTAL(103,Janvier!$O$7:$O$11)</totalsRowFormula>
    </tableColumn>
    <tableColumn id="15" xr3:uid="{00000000-0010-0000-0000-00000F000000}" name="14" totalsRowFunction="custom" dataDxfId="859" totalsRowDxfId="858">
      <totalsRowFormula>SUBTOTAL(103,Janvier!$P$7:$P$11)</totalsRowFormula>
    </tableColumn>
    <tableColumn id="16" xr3:uid="{00000000-0010-0000-0000-000010000000}" name="15" totalsRowFunction="custom" dataDxfId="857" totalsRowDxfId="856">
      <totalsRowFormula>SUBTOTAL(103,Janvier!$Q$7:$Q$11)</totalsRowFormula>
    </tableColumn>
    <tableColumn id="17" xr3:uid="{00000000-0010-0000-0000-000011000000}" name="16" totalsRowFunction="custom" dataDxfId="855" totalsRowDxfId="854">
      <totalsRowFormula>SUBTOTAL(103,Janvier!$R$7:$R$11)</totalsRowFormula>
    </tableColumn>
    <tableColumn id="18" xr3:uid="{00000000-0010-0000-0000-000012000000}" name="17" totalsRowFunction="custom" dataDxfId="853" totalsRowDxfId="852">
      <totalsRowFormula>SUBTOTAL(103,Janvier!$S$7:$S$11)</totalsRowFormula>
    </tableColumn>
    <tableColumn id="19" xr3:uid="{00000000-0010-0000-0000-000013000000}" name="18" totalsRowFunction="custom" dataDxfId="851" totalsRowDxfId="850">
      <totalsRowFormula>SUBTOTAL(103,Janvier!$T$7:$T$11)</totalsRowFormula>
    </tableColumn>
    <tableColumn id="20" xr3:uid="{00000000-0010-0000-0000-000014000000}" name="19" totalsRowFunction="custom" dataDxfId="849" totalsRowDxfId="848">
      <totalsRowFormula>SUBTOTAL(103,Janvier!$U$7:$U$11)</totalsRowFormula>
    </tableColumn>
    <tableColumn id="21" xr3:uid="{00000000-0010-0000-0000-000015000000}" name="20" totalsRowFunction="custom" dataDxfId="847" totalsRowDxfId="846">
      <totalsRowFormula>SUBTOTAL(103,Janvier!$V$7:$V$11)</totalsRowFormula>
    </tableColumn>
    <tableColumn id="22" xr3:uid="{00000000-0010-0000-0000-000016000000}" name="21" totalsRowFunction="custom" dataDxfId="845" totalsRowDxfId="844">
      <totalsRowFormula>SUBTOTAL(103,Janvier!$W$7:$W$11)</totalsRowFormula>
    </tableColumn>
    <tableColumn id="23" xr3:uid="{00000000-0010-0000-0000-000017000000}" name="22" totalsRowFunction="custom" dataDxfId="843" totalsRowDxfId="842">
      <totalsRowFormula>SUBTOTAL(103,Janvier!$X$7:$X$11)</totalsRowFormula>
    </tableColumn>
    <tableColumn id="24" xr3:uid="{00000000-0010-0000-0000-000018000000}" name="23" totalsRowFunction="custom" dataDxfId="841" totalsRowDxfId="840">
      <totalsRowFormula>SUBTOTAL(103,Janvier!$Y$7:$Y$11)</totalsRowFormula>
    </tableColumn>
    <tableColumn id="25" xr3:uid="{00000000-0010-0000-0000-000019000000}" name="24" totalsRowFunction="custom" dataDxfId="839" totalsRowDxfId="838">
      <totalsRowFormula>SUBTOTAL(103,Janvier!$Z$7:$Z$11)</totalsRowFormula>
    </tableColumn>
    <tableColumn id="26" xr3:uid="{00000000-0010-0000-0000-00001A000000}" name="25" totalsRowFunction="custom" dataDxfId="837" totalsRowDxfId="836">
      <totalsRowFormula>SUBTOTAL(103,Janvier!$AA$7:$AA$11)</totalsRowFormula>
    </tableColumn>
    <tableColumn id="27" xr3:uid="{00000000-0010-0000-0000-00001B000000}" name="26" totalsRowFunction="custom" dataDxfId="835" totalsRowDxfId="834">
      <totalsRowFormula>SUBTOTAL(103,Janvier!$AB$7:$AB$11)</totalsRowFormula>
    </tableColumn>
    <tableColumn id="28" xr3:uid="{00000000-0010-0000-0000-00001C000000}" name="27" totalsRowFunction="custom" dataDxfId="833" totalsRowDxfId="832">
      <totalsRowFormula>SUBTOTAL(103,Janvier!$AC$7:$AC$11)</totalsRowFormula>
    </tableColumn>
    <tableColumn id="29" xr3:uid="{00000000-0010-0000-0000-00001D000000}" name="28" totalsRowFunction="custom" dataDxfId="831" totalsRowDxfId="830">
      <totalsRowFormula>SUBTOTAL(103,Janvier!$AD$7:$AD$11)</totalsRowFormula>
    </tableColumn>
    <tableColumn id="30" xr3:uid="{00000000-0010-0000-0000-00001E000000}" name="29" totalsRowFunction="custom" dataDxfId="829" totalsRowDxfId="828">
      <totalsRowFormula>SUBTOTAL(103,Janvier!$AE$7:$AE$11)</totalsRowFormula>
    </tableColumn>
    <tableColumn id="31" xr3:uid="{00000000-0010-0000-0000-00001F000000}" name="30" totalsRowFunction="custom" dataDxfId="827" totalsRowDxfId="826">
      <totalsRowFormula>SUBTOTAL(103,Janvier!$AF$7:$AF$11)</totalsRowFormula>
    </tableColumn>
    <tableColumn id="32" xr3:uid="{00000000-0010-0000-0000-000020000000}" name="31" totalsRowFunction="custom" dataDxfId="825" totalsRowDxfId="824">
      <totalsRowFormula>SUBTOTAL(103,Janvier!$AG$7:$AG$11)</totalsRowFormula>
    </tableColumn>
    <tableColumn id="33" xr3:uid="{00000000-0010-0000-0000-000021000000}" name="Total des jours" totalsRowFunction="sum" dataDxfId="823" totalsRowDxfId="822">
      <calculatedColumnFormula>COUNTA(Janvier!$C7:$AG7)</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évrier" displayName="Février" ref="B6:AH12" totalsRowCount="1" headerRowDxfId="821" dataDxfId="820" totalsRowDxfId="819">
  <tableColumns count="33">
    <tableColumn id="1" xr3:uid="{00000000-0010-0000-0100-000001000000}" name="Nom de l’employé" totalsRowFunction="custom" dataDxfId="818" totalsRowDxfId="32" dataCellStyle="Employé">
      <totalsRowFormula>NomMois&amp;" Total"</totalsRowFormula>
    </tableColumn>
    <tableColumn id="2" xr3:uid="{00000000-0010-0000-0100-000002000000}" name="1" totalsRowFunction="count" dataDxfId="817" totalsRowDxfId="31"/>
    <tableColumn id="3" xr3:uid="{00000000-0010-0000-0100-000003000000}" name="2" totalsRowFunction="count" dataDxfId="816" totalsRowDxfId="30"/>
    <tableColumn id="4" xr3:uid="{00000000-0010-0000-0100-000004000000}" name="3" totalsRowFunction="count" dataDxfId="815" totalsRowDxfId="29"/>
    <tableColumn id="5" xr3:uid="{00000000-0010-0000-0100-000005000000}" name="4" totalsRowFunction="count" dataDxfId="814" totalsRowDxfId="28"/>
    <tableColumn id="6" xr3:uid="{00000000-0010-0000-0100-000006000000}" name="5" totalsRowFunction="count" dataDxfId="813" totalsRowDxfId="27"/>
    <tableColumn id="7" xr3:uid="{00000000-0010-0000-0100-000007000000}" name="6" totalsRowFunction="count" dataDxfId="812" totalsRowDxfId="26"/>
    <tableColumn id="8" xr3:uid="{00000000-0010-0000-0100-000008000000}" name="7" totalsRowFunction="count" dataDxfId="811" totalsRowDxfId="25"/>
    <tableColumn id="9" xr3:uid="{00000000-0010-0000-0100-000009000000}" name="8" totalsRowFunction="count" dataDxfId="810" totalsRowDxfId="24"/>
    <tableColumn id="10" xr3:uid="{00000000-0010-0000-0100-00000A000000}" name="9" totalsRowFunction="count" dataDxfId="809" totalsRowDxfId="23"/>
    <tableColumn id="11" xr3:uid="{00000000-0010-0000-0100-00000B000000}" name="10" totalsRowFunction="count" dataDxfId="808" totalsRowDxfId="22"/>
    <tableColumn id="12" xr3:uid="{00000000-0010-0000-0100-00000C000000}" name="11" totalsRowFunction="count" dataDxfId="807" totalsRowDxfId="21"/>
    <tableColumn id="13" xr3:uid="{00000000-0010-0000-0100-00000D000000}" name="12" totalsRowFunction="count" dataDxfId="806" totalsRowDxfId="20"/>
    <tableColumn id="14" xr3:uid="{00000000-0010-0000-0100-00000E000000}" name="13" totalsRowFunction="count" dataDxfId="805" totalsRowDxfId="19"/>
    <tableColumn id="15" xr3:uid="{00000000-0010-0000-0100-00000F000000}" name="14" totalsRowFunction="count" dataDxfId="804" totalsRowDxfId="18"/>
    <tableColumn id="16" xr3:uid="{00000000-0010-0000-0100-000010000000}" name="15" totalsRowFunction="count" dataDxfId="803" totalsRowDxfId="17"/>
    <tableColumn id="17" xr3:uid="{00000000-0010-0000-0100-000011000000}" name="16" totalsRowFunction="count" dataDxfId="802" totalsRowDxfId="16"/>
    <tableColumn id="18" xr3:uid="{00000000-0010-0000-0100-000012000000}" name="17" totalsRowFunction="count" dataDxfId="801" totalsRowDxfId="15"/>
    <tableColumn id="19" xr3:uid="{00000000-0010-0000-0100-000013000000}" name="18" totalsRowFunction="count" dataDxfId="800" totalsRowDxfId="14"/>
    <tableColumn id="20" xr3:uid="{00000000-0010-0000-0100-000014000000}" name="19" totalsRowFunction="count" dataDxfId="799" totalsRowDxfId="13"/>
    <tableColumn id="21" xr3:uid="{00000000-0010-0000-0100-000015000000}" name="20" totalsRowFunction="count" dataDxfId="798" totalsRowDxfId="12"/>
    <tableColumn id="22" xr3:uid="{00000000-0010-0000-0100-000016000000}" name="21" totalsRowFunction="count" dataDxfId="797" totalsRowDxfId="11"/>
    <tableColumn id="23" xr3:uid="{00000000-0010-0000-0100-000017000000}" name="22" totalsRowFunction="count" dataDxfId="796" totalsRowDxfId="10"/>
    <tableColumn id="24" xr3:uid="{00000000-0010-0000-0100-000018000000}" name="23" totalsRowFunction="count" dataDxfId="795" totalsRowDxfId="9"/>
    <tableColumn id="25" xr3:uid="{00000000-0010-0000-0100-000019000000}" name="24" totalsRowFunction="count" dataDxfId="794" totalsRowDxfId="8"/>
    <tableColumn id="26" xr3:uid="{00000000-0010-0000-0100-00001A000000}" name="25" totalsRowFunction="count" dataDxfId="793" totalsRowDxfId="7"/>
    <tableColumn id="27" xr3:uid="{00000000-0010-0000-0100-00001B000000}" name="26" totalsRowFunction="count" dataDxfId="792" totalsRowDxfId="6"/>
    <tableColumn id="28" xr3:uid="{00000000-0010-0000-0100-00001C000000}" name="27" totalsRowFunction="count" dataDxfId="791" totalsRowDxfId="5"/>
    <tableColumn id="29" xr3:uid="{00000000-0010-0000-0100-00001D000000}" name="28" totalsRowFunction="count" dataDxfId="790" totalsRowDxfId="4"/>
    <tableColumn id="30" xr3:uid="{00000000-0010-0000-0100-00001E000000}" name="29" totalsRowFunction="count" dataDxfId="789" totalsRowDxfId="3"/>
    <tableColumn id="31" xr3:uid="{00000000-0010-0000-0100-00001F000000}" name=" " dataDxfId="788" totalsRowDxfId="2"/>
    <tableColumn id="32" xr3:uid="{00000000-0010-0000-0100-000020000000}" name="  " dataDxfId="787" totalsRowDxfId="1"/>
    <tableColumn id="33" xr3:uid="{00000000-0010-0000-0100-000021000000}" name="Total des jours" totalsRowFunction="sum" dataDxfId="786" totalsRowDxfId="0">
      <calculatedColumnFormula>COUNTA(Février[[#This Row],[1]:[29]])</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Mars" displayName="Mars" ref="B6:AH12" totalsRowCount="1" headerRowDxfId="785" dataDxfId="784" totalsRowDxfId="783">
  <tableColumns count="33">
    <tableColumn id="1" xr3:uid="{00000000-0010-0000-0200-000001000000}" name="Nom de l’employé" totalsRowFunction="custom" dataDxfId="782" totalsRowDxfId="781" dataCellStyle="Employé">
      <totalsRowFormula>NomMois&amp;" Total"</totalsRowFormula>
    </tableColumn>
    <tableColumn id="2" xr3:uid="{00000000-0010-0000-0200-000002000000}" name="1" totalsRowFunction="count" dataDxfId="780" totalsRowDxfId="779"/>
    <tableColumn id="3" xr3:uid="{00000000-0010-0000-0200-000003000000}" name="2" totalsRowFunction="count" dataDxfId="778" totalsRowDxfId="777"/>
    <tableColumn id="4" xr3:uid="{00000000-0010-0000-0200-000004000000}" name="3" totalsRowFunction="count" dataDxfId="776" totalsRowDxfId="775"/>
    <tableColumn id="5" xr3:uid="{00000000-0010-0000-0200-000005000000}" name="4" totalsRowFunction="count" dataDxfId="774" totalsRowDxfId="773"/>
    <tableColumn id="6" xr3:uid="{00000000-0010-0000-0200-000006000000}" name="5" totalsRowFunction="count" dataDxfId="772" totalsRowDxfId="771"/>
    <tableColumn id="7" xr3:uid="{00000000-0010-0000-0200-000007000000}" name="6" totalsRowFunction="count" dataDxfId="770" totalsRowDxfId="769"/>
    <tableColumn id="8" xr3:uid="{00000000-0010-0000-0200-000008000000}" name="7" totalsRowFunction="count" dataDxfId="768" totalsRowDxfId="767"/>
    <tableColumn id="9" xr3:uid="{00000000-0010-0000-0200-000009000000}" name="8" totalsRowFunction="count" dataDxfId="766" totalsRowDxfId="765"/>
    <tableColumn id="10" xr3:uid="{00000000-0010-0000-0200-00000A000000}" name="9" totalsRowFunction="count" dataDxfId="764" totalsRowDxfId="763"/>
    <tableColumn id="11" xr3:uid="{00000000-0010-0000-0200-00000B000000}" name="10" totalsRowFunction="count" dataDxfId="762" totalsRowDxfId="761"/>
    <tableColumn id="12" xr3:uid="{00000000-0010-0000-0200-00000C000000}" name="11" totalsRowFunction="count" dataDxfId="760" totalsRowDxfId="759"/>
    <tableColumn id="13" xr3:uid="{00000000-0010-0000-0200-00000D000000}" name="12" totalsRowFunction="count" dataDxfId="758" totalsRowDxfId="757"/>
    <tableColumn id="14" xr3:uid="{00000000-0010-0000-0200-00000E000000}" name="13" totalsRowFunction="count" dataDxfId="756" totalsRowDxfId="755"/>
    <tableColumn id="15" xr3:uid="{00000000-0010-0000-0200-00000F000000}" name="14" totalsRowFunction="count" dataDxfId="754" totalsRowDxfId="753"/>
    <tableColumn id="16" xr3:uid="{00000000-0010-0000-0200-000010000000}" name="15" totalsRowFunction="count" dataDxfId="752" totalsRowDxfId="751"/>
    <tableColumn id="17" xr3:uid="{00000000-0010-0000-0200-000011000000}" name="16" totalsRowFunction="count" dataDxfId="750" totalsRowDxfId="749"/>
    <tableColumn id="18" xr3:uid="{00000000-0010-0000-0200-000012000000}" name="17" totalsRowFunction="count" dataDxfId="748" totalsRowDxfId="747"/>
    <tableColumn id="19" xr3:uid="{00000000-0010-0000-0200-000013000000}" name="18" totalsRowFunction="count" dataDxfId="746" totalsRowDxfId="745"/>
    <tableColumn id="20" xr3:uid="{00000000-0010-0000-0200-000014000000}" name="19" totalsRowFunction="count" dataDxfId="744" totalsRowDxfId="743"/>
    <tableColumn id="21" xr3:uid="{00000000-0010-0000-0200-000015000000}" name="20" totalsRowFunction="count" dataDxfId="742" totalsRowDxfId="741"/>
    <tableColumn id="22" xr3:uid="{00000000-0010-0000-0200-000016000000}" name="21" totalsRowFunction="count" dataDxfId="740" totalsRowDxfId="739"/>
    <tableColumn id="23" xr3:uid="{00000000-0010-0000-0200-000017000000}" name="22" totalsRowFunction="count" dataDxfId="738" totalsRowDxfId="737"/>
    <tableColumn id="24" xr3:uid="{00000000-0010-0000-0200-000018000000}" name="23" totalsRowFunction="count" dataDxfId="736" totalsRowDxfId="735"/>
    <tableColumn id="25" xr3:uid="{00000000-0010-0000-0200-000019000000}" name="24" totalsRowFunction="count" dataDxfId="734" totalsRowDxfId="733"/>
    <tableColumn id="26" xr3:uid="{00000000-0010-0000-0200-00001A000000}" name="25" totalsRowFunction="count" dataDxfId="732" totalsRowDxfId="731"/>
    <tableColumn id="27" xr3:uid="{00000000-0010-0000-0200-00001B000000}" name="26" totalsRowFunction="count" dataDxfId="730" totalsRowDxfId="729"/>
    <tableColumn id="28" xr3:uid="{00000000-0010-0000-0200-00001C000000}" name="27" totalsRowFunction="count" dataDxfId="728" totalsRowDxfId="727"/>
    <tableColumn id="29" xr3:uid="{00000000-0010-0000-0200-00001D000000}" name="28" totalsRowFunction="count" dataDxfId="726" totalsRowDxfId="725"/>
    <tableColumn id="30" xr3:uid="{00000000-0010-0000-0200-00001E000000}" name="29" totalsRowFunction="count" dataDxfId="724" totalsRowDxfId="723"/>
    <tableColumn id="31" xr3:uid="{00000000-0010-0000-0200-00001F000000}" name="30" totalsRowFunction="count" dataDxfId="722" totalsRowDxfId="721"/>
    <tableColumn id="32" xr3:uid="{00000000-0010-0000-0200-000020000000}" name="31" totalsRowFunction="count" dataDxfId="720" totalsRowDxfId="719"/>
    <tableColumn id="33" xr3:uid="{00000000-0010-0000-0200-000021000000}" name="Total des jours" totalsRowFunction="sum" dataDxfId="718" totalsRowDxfId="717">
      <calculatedColumnFormula>COUNTA(Mars[[#This Row],[1]:[31]])</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3000000}" name="Avril" displayName="Avril" ref="B6:AH12" totalsRowCount="1" headerRowDxfId="716" dataDxfId="715" totalsRowDxfId="714">
  <tableColumns count="33">
    <tableColumn id="1" xr3:uid="{00000000-0010-0000-0300-000001000000}" name="Nom de l’employé" totalsRowFunction="custom" dataDxfId="713" totalsRowDxfId="712" dataCellStyle="Employé">
      <totalsRowFormula>NomMois&amp;" Total"</totalsRowFormula>
    </tableColumn>
    <tableColumn id="2" xr3:uid="{00000000-0010-0000-0300-000002000000}" name="1" totalsRowFunction="count" dataDxfId="711" totalsRowDxfId="710"/>
    <tableColumn id="3" xr3:uid="{00000000-0010-0000-0300-000003000000}" name="2" totalsRowFunction="count" dataDxfId="709" totalsRowDxfId="708"/>
    <tableColumn id="4" xr3:uid="{00000000-0010-0000-0300-000004000000}" name="3" totalsRowFunction="count" dataDxfId="707" totalsRowDxfId="706"/>
    <tableColumn id="5" xr3:uid="{00000000-0010-0000-0300-000005000000}" name="4" totalsRowFunction="count" dataDxfId="705" totalsRowDxfId="704"/>
    <tableColumn id="6" xr3:uid="{00000000-0010-0000-0300-000006000000}" name="5" totalsRowFunction="count" dataDxfId="703" totalsRowDxfId="702"/>
    <tableColumn id="7" xr3:uid="{00000000-0010-0000-0300-000007000000}" name="6" totalsRowFunction="count" dataDxfId="701" totalsRowDxfId="700"/>
    <tableColumn id="8" xr3:uid="{00000000-0010-0000-0300-000008000000}" name="7" totalsRowFunction="count" dataDxfId="699" totalsRowDxfId="698"/>
    <tableColumn id="9" xr3:uid="{00000000-0010-0000-0300-000009000000}" name="8" totalsRowFunction="count" dataDxfId="697" totalsRowDxfId="696"/>
    <tableColumn id="10" xr3:uid="{00000000-0010-0000-0300-00000A000000}" name="9" totalsRowFunction="count" dataDxfId="695" totalsRowDxfId="694"/>
    <tableColumn id="11" xr3:uid="{00000000-0010-0000-0300-00000B000000}" name="10" totalsRowFunction="count" dataDxfId="693" totalsRowDxfId="692"/>
    <tableColumn id="12" xr3:uid="{00000000-0010-0000-0300-00000C000000}" name="11" totalsRowFunction="count" dataDxfId="691" totalsRowDxfId="690"/>
    <tableColumn id="13" xr3:uid="{00000000-0010-0000-0300-00000D000000}" name="12" totalsRowFunction="count" dataDxfId="689" totalsRowDxfId="688"/>
    <tableColumn id="14" xr3:uid="{00000000-0010-0000-0300-00000E000000}" name="13" totalsRowFunction="count" dataDxfId="687" totalsRowDxfId="686"/>
    <tableColumn id="15" xr3:uid="{00000000-0010-0000-0300-00000F000000}" name="14" totalsRowFunction="count" dataDxfId="685" totalsRowDxfId="684"/>
    <tableColumn id="16" xr3:uid="{00000000-0010-0000-0300-000010000000}" name="15" totalsRowFunction="count" dataDxfId="683" totalsRowDxfId="682"/>
    <tableColumn id="17" xr3:uid="{00000000-0010-0000-0300-000011000000}" name="16" totalsRowFunction="count" dataDxfId="681" totalsRowDxfId="680"/>
    <tableColumn id="18" xr3:uid="{00000000-0010-0000-0300-000012000000}" name="17" totalsRowFunction="count" dataDxfId="679" totalsRowDxfId="678"/>
    <tableColumn id="19" xr3:uid="{00000000-0010-0000-0300-000013000000}" name="18" totalsRowFunction="count" dataDxfId="677" totalsRowDxfId="676"/>
    <tableColumn id="20" xr3:uid="{00000000-0010-0000-0300-000014000000}" name="19" totalsRowFunction="count" dataDxfId="675" totalsRowDxfId="674"/>
    <tableColumn id="21" xr3:uid="{00000000-0010-0000-0300-000015000000}" name="20" totalsRowFunction="count" dataDxfId="673" totalsRowDxfId="672"/>
    <tableColumn id="22" xr3:uid="{00000000-0010-0000-0300-000016000000}" name="21" totalsRowFunction="count" dataDxfId="671" totalsRowDxfId="670"/>
    <tableColumn id="23" xr3:uid="{00000000-0010-0000-0300-000017000000}" name="22" totalsRowFunction="count" dataDxfId="669" totalsRowDxfId="668"/>
    <tableColumn id="24" xr3:uid="{00000000-0010-0000-0300-000018000000}" name="23" totalsRowFunction="count" dataDxfId="667" totalsRowDxfId="666"/>
    <tableColumn id="25" xr3:uid="{00000000-0010-0000-0300-000019000000}" name="24" totalsRowFunction="count" dataDxfId="665" totalsRowDxfId="664"/>
    <tableColumn id="26" xr3:uid="{00000000-0010-0000-0300-00001A000000}" name="25" totalsRowFunction="count" dataDxfId="663" totalsRowDxfId="662"/>
    <tableColumn id="27" xr3:uid="{00000000-0010-0000-0300-00001B000000}" name="26" totalsRowFunction="count" dataDxfId="661" totalsRowDxfId="660"/>
    <tableColumn id="28" xr3:uid="{00000000-0010-0000-0300-00001C000000}" name="27" totalsRowFunction="count" dataDxfId="659" totalsRowDxfId="658"/>
    <tableColumn id="29" xr3:uid="{00000000-0010-0000-0300-00001D000000}" name="28" totalsRowFunction="count" dataDxfId="657" totalsRowDxfId="656"/>
    <tableColumn id="30" xr3:uid="{00000000-0010-0000-0300-00001E000000}" name="29" totalsRowFunction="count" dataDxfId="655" totalsRowDxfId="654"/>
    <tableColumn id="31" xr3:uid="{00000000-0010-0000-0300-00001F000000}" name="30" totalsRowFunction="count" dataDxfId="653" totalsRowDxfId="652"/>
    <tableColumn id="32" xr3:uid="{00000000-0010-0000-0300-000020000000}" name=" " totalsRowFunction="custom" dataDxfId="651" totalsRowDxfId="650">
      <totalsRowFormula>SUBTOTAL(103,Avril[30])</totalsRowFormula>
    </tableColumn>
    <tableColumn id="33" xr3:uid="{00000000-0010-0000-0300-000021000000}" name="Total des jours" totalsRowFunction="sum" dataDxfId="649" totalsRowDxfId="648">
      <calculatedColumnFormula>COUNTA(Avril[[#This Row],[1]:[30]])</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4000000}" name="Mai" displayName="Mai" ref="B6:AH12" totalsRowCount="1" headerRowDxfId="647" dataDxfId="646" totalsRowDxfId="645">
  <tableColumns count="33">
    <tableColumn id="1" xr3:uid="{00000000-0010-0000-0400-000001000000}" name="Nom de l’employé" totalsRowFunction="custom" dataDxfId="644" totalsRowDxfId="643" dataCellStyle="Employé">
      <totalsRowFormula>NomMois&amp;" Total"</totalsRowFormula>
    </tableColumn>
    <tableColumn id="2" xr3:uid="{00000000-0010-0000-0400-000002000000}" name="1" totalsRowFunction="count" dataDxfId="642" totalsRowDxfId="641"/>
    <tableColumn id="3" xr3:uid="{00000000-0010-0000-0400-000003000000}" name="2" totalsRowFunction="count" dataDxfId="640" totalsRowDxfId="639"/>
    <tableColumn id="4" xr3:uid="{00000000-0010-0000-0400-000004000000}" name="3" totalsRowFunction="count" dataDxfId="638" totalsRowDxfId="637"/>
    <tableColumn id="5" xr3:uid="{00000000-0010-0000-0400-000005000000}" name="4" totalsRowFunction="count" dataDxfId="636" totalsRowDxfId="635"/>
    <tableColumn id="6" xr3:uid="{00000000-0010-0000-0400-000006000000}" name="5" totalsRowFunction="count" dataDxfId="634" totalsRowDxfId="633"/>
    <tableColumn id="7" xr3:uid="{00000000-0010-0000-0400-000007000000}" name="6" totalsRowFunction="count" dataDxfId="632" totalsRowDxfId="631"/>
    <tableColumn id="8" xr3:uid="{00000000-0010-0000-0400-000008000000}" name="7" totalsRowFunction="count" dataDxfId="630" totalsRowDxfId="629"/>
    <tableColumn id="9" xr3:uid="{00000000-0010-0000-0400-000009000000}" name="8" totalsRowFunction="count" dataDxfId="628" totalsRowDxfId="627"/>
    <tableColumn id="10" xr3:uid="{00000000-0010-0000-0400-00000A000000}" name="9" totalsRowFunction="count" dataDxfId="626" totalsRowDxfId="625"/>
    <tableColumn id="11" xr3:uid="{00000000-0010-0000-0400-00000B000000}" name="10" totalsRowFunction="count" dataDxfId="624" totalsRowDxfId="623"/>
    <tableColumn id="12" xr3:uid="{00000000-0010-0000-0400-00000C000000}" name="11" totalsRowFunction="count" dataDxfId="622" totalsRowDxfId="621"/>
    <tableColumn id="13" xr3:uid="{00000000-0010-0000-0400-00000D000000}" name="12" totalsRowFunction="count" dataDxfId="620" totalsRowDxfId="619"/>
    <tableColumn id="14" xr3:uid="{00000000-0010-0000-0400-00000E000000}" name="13" totalsRowFunction="count" dataDxfId="618" totalsRowDxfId="617"/>
    <tableColumn id="15" xr3:uid="{00000000-0010-0000-0400-00000F000000}" name="14" totalsRowFunction="count" dataDxfId="616" totalsRowDxfId="615"/>
    <tableColumn id="16" xr3:uid="{00000000-0010-0000-0400-000010000000}" name="15" totalsRowFunction="count" dataDxfId="614" totalsRowDxfId="613"/>
    <tableColumn id="17" xr3:uid="{00000000-0010-0000-0400-000011000000}" name="16" totalsRowFunction="count" dataDxfId="612" totalsRowDxfId="611"/>
    <tableColumn id="18" xr3:uid="{00000000-0010-0000-0400-000012000000}" name="17" totalsRowFunction="count" dataDxfId="610" totalsRowDxfId="609"/>
    <tableColumn id="19" xr3:uid="{00000000-0010-0000-0400-000013000000}" name="18" totalsRowFunction="count" dataDxfId="608" totalsRowDxfId="607"/>
    <tableColumn id="20" xr3:uid="{00000000-0010-0000-0400-000014000000}" name="19" totalsRowFunction="count" dataDxfId="606" totalsRowDxfId="605"/>
    <tableColumn id="21" xr3:uid="{00000000-0010-0000-0400-000015000000}" name="20" totalsRowFunction="count" dataDxfId="604" totalsRowDxfId="603"/>
    <tableColumn id="22" xr3:uid="{00000000-0010-0000-0400-000016000000}" name="21" totalsRowFunction="count" dataDxfId="602" totalsRowDxfId="601"/>
    <tableColumn id="23" xr3:uid="{00000000-0010-0000-0400-000017000000}" name="22" totalsRowFunction="count" dataDxfId="600" totalsRowDxfId="599"/>
    <tableColumn id="24" xr3:uid="{00000000-0010-0000-0400-000018000000}" name="23" totalsRowFunction="count" dataDxfId="598" totalsRowDxfId="597"/>
    <tableColumn id="25" xr3:uid="{00000000-0010-0000-0400-000019000000}" name="24" totalsRowFunction="count" dataDxfId="596" totalsRowDxfId="595"/>
    <tableColumn id="26" xr3:uid="{00000000-0010-0000-0400-00001A000000}" name="25" totalsRowFunction="count" dataDxfId="594" totalsRowDxfId="593"/>
    <tableColumn id="27" xr3:uid="{00000000-0010-0000-0400-00001B000000}" name="26" totalsRowFunction="count" dataDxfId="592" totalsRowDxfId="591"/>
    <tableColumn id="28" xr3:uid="{00000000-0010-0000-0400-00001C000000}" name="27" totalsRowFunction="count" dataDxfId="590" totalsRowDxfId="589"/>
    <tableColumn id="29" xr3:uid="{00000000-0010-0000-0400-00001D000000}" name="28" totalsRowFunction="count" dataDxfId="588" totalsRowDxfId="587"/>
    <tableColumn id="30" xr3:uid="{00000000-0010-0000-0400-00001E000000}" name="29" totalsRowFunction="count" dataDxfId="586" totalsRowDxfId="585"/>
    <tableColumn id="31" xr3:uid="{00000000-0010-0000-0400-00001F000000}" name="30" totalsRowFunction="count" dataDxfId="584" totalsRowDxfId="583"/>
    <tableColumn id="32" xr3:uid="{00000000-0010-0000-0400-000020000000}" name="31" totalsRowFunction="count" dataDxfId="582" totalsRowDxfId="581"/>
    <tableColumn id="33" xr3:uid="{00000000-0010-0000-0400-000021000000}" name="Total des jours" totalsRowFunction="sum" dataDxfId="580" totalsRowDxfId="579">
      <calculatedColumnFormula>COUNTA(Mai[[#This Row],[1]:[31]])</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5000000}" name="Juin" displayName="Juin" ref="B6:AH12" totalsRowCount="1" headerRowDxfId="578" dataDxfId="577" totalsRowDxfId="576">
  <tableColumns count="33">
    <tableColumn id="1" xr3:uid="{00000000-0010-0000-0500-000001000000}" name="Nom de l’employé" totalsRowFunction="custom" dataDxfId="575" totalsRowDxfId="574" dataCellStyle="Employé">
      <totalsRowFormula>NomMois&amp;" Total"</totalsRowFormula>
    </tableColumn>
    <tableColumn id="2" xr3:uid="{00000000-0010-0000-0500-000002000000}" name="1" totalsRowFunction="count" dataDxfId="573" totalsRowDxfId="572"/>
    <tableColumn id="3" xr3:uid="{00000000-0010-0000-0500-000003000000}" name="2" totalsRowFunction="count" dataDxfId="571" totalsRowDxfId="570"/>
    <tableColumn id="4" xr3:uid="{00000000-0010-0000-0500-000004000000}" name="3" totalsRowFunction="count" dataDxfId="569" totalsRowDxfId="568"/>
    <tableColumn id="5" xr3:uid="{00000000-0010-0000-0500-000005000000}" name="4" totalsRowFunction="count" dataDxfId="567" totalsRowDxfId="566"/>
    <tableColumn id="6" xr3:uid="{00000000-0010-0000-0500-000006000000}" name="5" totalsRowFunction="count" dataDxfId="565" totalsRowDxfId="564"/>
    <tableColumn id="7" xr3:uid="{00000000-0010-0000-0500-000007000000}" name="6" totalsRowFunction="count" dataDxfId="563" totalsRowDxfId="562"/>
    <tableColumn id="8" xr3:uid="{00000000-0010-0000-0500-000008000000}" name="7" totalsRowFunction="count" dataDxfId="561" totalsRowDxfId="560"/>
    <tableColumn id="9" xr3:uid="{00000000-0010-0000-0500-000009000000}" name="8" totalsRowFunction="count" dataDxfId="559" totalsRowDxfId="558"/>
    <tableColumn id="10" xr3:uid="{00000000-0010-0000-0500-00000A000000}" name="9" totalsRowFunction="count" dataDxfId="557" totalsRowDxfId="556"/>
    <tableColumn id="11" xr3:uid="{00000000-0010-0000-0500-00000B000000}" name="10" totalsRowFunction="count" dataDxfId="555" totalsRowDxfId="554"/>
    <tableColumn id="12" xr3:uid="{00000000-0010-0000-0500-00000C000000}" name="11" totalsRowFunction="count" dataDxfId="553" totalsRowDxfId="552"/>
    <tableColumn id="13" xr3:uid="{00000000-0010-0000-0500-00000D000000}" name="12" totalsRowFunction="count" dataDxfId="551" totalsRowDxfId="550"/>
    <tableColumn id="14" xr3:uid="{00000000-0010-0000-0500-00000E000000}" name="13" totalsRowFunction="count" dataDxfId="549" totalsRowDxfId="548"/>
    <tableColumn id="15" xr3:uid="{00000000-0010-0000-0500-00000F000000}" name="14" totalsRowFunction="count" dataDxfId="547" totalsRowDxfId="546"/>
    <tableColumn id="16" xr3:uid="{00000000-0010-0000-0500-000010000000}" name="15" totalsRowFunction="count" dataDxfId="545" totalsRowDxfId="544"/>
    <tableColumn id="17" xr3:uid="{00000000-0010-0000-0500-000011000000}" name="16" totalsRowFunction="count" dataDxfId="543" totalsRowDxfId="542"/>
    <tableColumn id="18" xr3:uid="{00000000-0010-0000-0500-000012000000}" name="17" totalsRowFunction="count" dataDxfId="541" totalsRowDxfId="540"/>
    <tableColumn id="19" xr3:uid="{00000000-0010-0000-0500-000013000000}" name="18" totalsRowFunction="count" dataDxfId="539" totalsRowDxfId="538"/>
    <tableColumn id="20" xr3:uid="{00000000-0010-0000-0500-000014000000}" name="19" totalsRowFunction="count" dataDxfId="537" totalsRowDxfId="536"/>
    <tableColumn id="21" xr3:uid="{00000000-0010-0000-0500-000015000000}" name="20" totalsRowFunction="count" dataDxfId="535" totalsRowDxfId="534"/>
    <tableColumn id="22" xr3:uid="{00000000-0010-0000-0500-000016000000}" name="21" totalsRowFunction="count" dataDxfId="533" totalsRowDxfId="532"/>
    <tableColumn id="23" xr3:uid="{00000000-0010-0000-0500-000017000000}" name="22" totalsRowFunction="count" dataDxfId="531" totalsRowDxfId="530"/>
    <tableColumn id="24" xr3:uid="{00000000-0010-0000-0500-000018000000}" name="23" totalsRowFunction="count" dataDxfId="529" totalsRowDxfId="528"/>
    <tableColumn id="25" xr3:uid="{00000000-0010-0000-0500-000019000000}" name="24" totalsRowFunction="count" dataDxfId="527" totalsRowDxfId="526"/>
    <tableColumn id="26" xr3:uid="{00000000-0010-0000-0500-00001A000000}" name="25" totalsRowFunction="count" dataDxfId="525" totalsRowDxfId="524"/>
    <tableColumn id="27" xr3:uid="{00000000-0010-0000-0500-00001B000000}" name="26" totalsRowFunction="count" dataDxfId="523" totalsRowDxfId="522"/>
    <tableColumn id="28" xr3:uid="{00000000-0010-0000-0500-00001C000000}" name="27" totalsRowFunction="count" dataDxfId="521" totalsRowDxfId="520"/>
    <tableColumn id="29" xr3:uid="{00000000-0010-0000-0500-00001D000000}" name="28" totalsRowFunction="count" dataDxfId="519" totalsRowDxfId="518"/>
    <tableColumn id="30" xr3:uid="{00000000-0010-0000-0500-00001E000000}" name="29" totalsRowFunction="count" dataDxfId="517" totalsRowDxfId="516"/>
    <tableColumn id="31" xr3:uid="{00000000-0010-0000-0500-00001F000000}" name="30" totalsRowFunction="count" dataDxfId="515" totalsRowDxfId="514"/>
    <tableColumn id="32" xr3:uid="{00000000-0010-0000-0500-000020000000}" name=" " totalsRowFunction="count" dataDxfId="513" totalsRowDxfId="512"/>
    <tableColumn id="33" xr3:uid="{00000000-0010-0000-0500-000021000000}" name="Total des jours" totalsRowFunction="sum" dataDxfId="511" totalsRowDxfId="510">
      <calculatedColumnFormula>COUNTA(Juin[[#This Row],[1]:[30]])</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6000000}" name="Juillet" displayName="Juillet" ref="B6:AH12" totalsRowCount="1" headerRowDxfId="509" dataDxfId="508" totalsRowDxfId="507">
  <tableColumns count="33">
    <tableColumn id="1" xr3:uid="{00000000-0010-0000-0600-000001000000}" name="Nom de l’employé" totalsRowFunction="custom" dataDxfId="506" totalsRowDxfId="505" dataCellStyle="Employé">
      <totalsRowFormula>NomMois&amp;" Total"</totalsRowFormula>
    </tableColumn>
    <tableColumn id="2" xr3:uid="{00000000-0010-0000-0600-000002000000}" name="1" totalsRowFunction="count" dataDxfId="504" totalsRowDxfId="503"/>
    <tableColumn id="3" xr3:uid="{00000000-0010-0000-0600-000003000000}" name="2" totalsRowFunction="count" dataDxfId="502" totalsRowDxfId="501"/>
    <tableColumn id="4" xr3:uid="{00000000-0010-0000-0600-000004000000}" name="3" totalsRowFunction="count" dataDxfId="500" totalsRowDxfId="499"/>
    <tableColumn id="5" xr3:uid="{00000000-0010-0000-0600-000005000000}" name="4" totalsRowFunction="count" dataDxfId="498" totalsRowDxfId="497"/>
    <tableColumn id="6" xr3:uid="{00000000-0010-0000-0600-000006000000}" name="5" totalsRowFunction="count" dataDxfId="496" totalsRowDxfId="495"/>
    <tableColumn id="7" xr3:uid="{00000000-0010-0000-0600-000007000000}" name="6" totalsRowFunction="count" dataDxfId="494" totalsRowDxfId="493"/>
    <tableColumn id="8" xr3:uid="{00000000-0010-0000-0600-000008000000}" name="7" totalsRowFunction="count" dataDxfId="492" totalsRowDxfId="491"/>
    <tableColumn id="9" xr3:uid="{00000000-0010-0000-0600-000009000000}" name="8" totalsRowFunction="count" dataDxfId="490" totalsRowDxfId="489"/>
    <tableColumn id="10" xr3:uid="{00000000-0010-0000-0600-00000A000000}" name="9" totalsRowFunction="count" dataDxfId="488" totalsRowDxfId="487"/>
    <tableColumn id="11" xr3:uid="{00000000-0010-0000-0600-00000B000000}" name="10" totalsRowFunction="count" dataDxfId="486" totalsRowDxfId="485"/>
    <tableColumn id="12" xr3:uid="{00000000-0010-0000-0600-00000C000000}" name="11" totalsRowFunction="count" dataDxfId="484" totalsRowDxfId="483"/>
    <tableColumn id="13" xr3:uid="{00000000-0010-0000-0600-00000D000000}" name="12" totalsRowFunction="count" dataDxfId="482" totalsRowDxfId="481"/>
    <tableColumn id="14" xr3:uid="{00000000-0010-0000-0600-00000E000000}" name="13" totalsRowFunction="count" dataDxfId="480" totalsRowDxfId="479"/>
    <tableColumn id="15" xr3:uid="{00000000-0010-0000-0600-00000F000000}" name="14" totalsRowFunction="count" dataDxfId="478" totalsRowDxfId="477"/>
    <tableColumn id="16" xr3:uid="{00000000-0010-0000-0600-000010000000}" name="15" totalsRowFunction="count" dataDxfId="476" totalsRowDxfId="475"/>
    <tableColumn id="17" xr3:uid="{00000000-0010-0000-0600-000011000000}" name="16" totalsRowFunction="count" dataDxfId="474" totalsRowDxfId="473"/>
    <tableColumn id="18" xr3:uid="{00000000-0010-0000-0600-000012000000}" name="17" totalsRowFunction="count" dataDxfId="472" totalsRowDxfId="471"/>
    <tableColumn id="19" xr3:uid="{00000000-0010-0000-0600-000013000000}" name="18" totalsRowFunction="count" dataDxfId="470" totalsRowDxfId="469"/>
    <tableColumn id="20" xr3:uid="{00000000-0010-0000-0600-000014000000}" name="19" totalsRowFunction="count" dataDxfId="468" totalsRowDxfId="467"/>
    <tableColumn id="21" xr3:uid="{00000000-0010-0000-0600-000015000000}" name="20" totalsRowFunction="count" dataDxfId="466" totalsRowDxfId="465"/>
    <tableColumn id="22" xr3:uid="{00000000-0010-0000-0600-000016000000}" name="21" totalsRowFunction="count" dataDxfId="464" totalsRowDxfId="463"/>
    <tableColumn id="23" xr3:uid="{00000000-0010-0000-0600-000017000000}" name="22" totalsRowFunction="count" dataDxfId="462" totalsRowDxfId="461"/>
    <tableColumn id="24" xr3:uid="{00000000-0010-0000-0600-000018000000}" name="23" totalsRowFunction="count" dataDxfId="460" totalsRowDxfId="459"/>
    <tableColumn id="25" xr3:uid="{00000000-0010-0000-0600-000019000000}" name="24" totalsRowFunction="count" dataDxfId="458" totalsRowDxfId="457"/>
    <tableColumn id="26" xr3:uid="{00000000-0010-0000-0600-00001A000000}" name="25" totalsRowFunction="count" dataDxfId="456" totalsRowDxfId="455"/>
    <tableColumn id="27" xr3:uid="{00000000-0010-0000-0600-00001B000000}" name="26" totalsRowFunction="count" dataDxfId="454" totalsRowDxfId="453"/>
    <tableColumn id="28" xr3:uid="{00000000-0010-0000-0600-00001C000000}" name="27" totalsRowFunction="count" dataDxfId="452" totalsRowDxfId="451"/>
    <tableColumn id="29" xr3:uid="{00000000-0010-0000-0600-00001D000000}" name="28" totalsRowFunction="count" dataDxfId="450" totalsRowDxfId="449"/>
    <tableColumn id="30" xr3:uid="{00000000-0010-0000-0600-00001E000000}" name="29" totalsRowFunction="count" dataDxfId="448" totalsRowDxfId="447"/>
    <tableColumn id="31" xr3:uid="{00000000-0010-0000-0600-00001F000000}" name="30" totalsRowFunction="count" dataDxfId="446" totalsRowDxfId="445"/>
    <tableColumn id="32" xr3:uid="{00000000-0010-0000-0600-000020000000}" name="31" totalsRowFunction="count" dataDxfId="444" totalsRowDxfId="443"/>
    <tableColumn id="33" xr3:uid="{00000000-0010-0000-0600-000021000000}" name="Total des jours" totalsRowFunction="sum" dataDxfId="442" totalsRowDxfId="441">
      <calculatedColumnFormula>COUNTA(Juillet[[#This Row],[1]:[31]])</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7000000}" name="Août" displayName="Août" ref="B6:AH12" totalsRowCount="1" headerRowDxfId="440" dataDxfId="439" totalsRowDxfId="438">
  <tableColumns count="33">
    <tableColumn id="1" xr3:uid="{00000000-0010-0000-0700-000001000000}" name="Nom de l’employé" totalsRowFunction="custom" dataDxfId="437" totalsRowDxfId="436" dataCellStyle="Employé">
      <totalsRowFormula>NomMois&amp;" Total"</totalsRowFormula>
    </tableColumn>
    <tableColumn id="2" xr3:uid="{00000000-0010-0000-0700-000002000000}" name="1" totalsRowFunction="count" dataDxfId="435" totalsRowDxfId="434"/>
    <tableColumn id="3" xr3:uid="{00000000-0010-0000-0700-000003000000}" name="2" totalsRowFunction="count" dataDxfId="433" totalsRowDxfId="432"/>
    <tableColumn id="4" xr3:uid="{00000000-0010-0000-0700-000004000000}" name="3" totalsRowFunction="count" dataDxfId="431" totalsRowDxfId="430"/>
    <tableColumn id="5" xr3:uid="{00000000-0010-0000-0700-000005000000}" name="4" totalsRowFunction="count" dataDxfId="429" totalsRowDxfId="428"/>
    <tableColumn id="6" xr3:uid="{00000000-0010-0000-0700-000006000000}" name="5" totalsRowFunction="count" dataDxfId="427" totalsRowDxfId="426"/>
    <tableColumn id="7" xr3:uid="{00000000-0010-0000-0700-000007000000}" name="6" totalsRowFunction="count" dataDxfId="425" totalsRowDxfId="424"/>
    <tableColumn id="8" xr3:uid="{00000000-0010-0000-0700-000008000000}" name="7" totalsRowFunction="count" dataDxfId="423" totalsRowDxfId="422"/>
    <tableColumn id="9" xr3:uid="{00000000-0010-0000-0700-000009000000}" name="8" totalsRowFunction="count" dataDxfId="421" totalsRowDxfId="420"/>
    <tableColumn id="10" xr3:uid="{00000000-0010-0000-0700-00000A000000}" name="9" totalsRowFunction="count" dataDxfId="419" totalsRowDxfId="418"/>
    <tableColumn id="11" xr3:uid="{00000000-0010-0000-0700-00000B000000}" name="10" totalsRowFunction="count" dataDxfId="417" totalsRowDxfId="416"/>
    <tableColumn id="12" xr3:uid="{00000000-0010-0000-0700-00000C000000}" name="11" totalsRowFunction="count" dataDxfId="415" totalsRowDxfId="414"/>
    <tableColumn id="13" xr3:uid="{00000000-0010-0000-0700-00000D000000}" name="12" totalsRowFunction="count" dataDxfId="413" totalsRowDxfId="412"/>
    <tableColumn id="14" xr3:uid="{00000000-0010-0000-0700-00000E000000}" name="13" totalsRowFunction="count" dataDxfId="411" totalsRowDxfId="410"/>
    <tableColumn id="15" xr3:uid="{00000000-0010-0000-0700-00000F000000}" name="14" totalsRowFunction="count" dataDxfId="409" totalsRowDxfId="408"/>
    <tableColumn id="16" xr3:uid="{00000000-0010-0000-0700-000010000000}" name="15" totalsRowFunction="count" dataDxfId="407" totalsRowDxfId="406"/>
    <tableColumn id="17" xr3:uid="{00000000-0010-0000-0700-000011000000}" name="16" totalsRowFunction="count" dataDxfId="405" totalsRowDxfId="404"/>
    <tableColumn id="18" xr3:uid="{00000000-0010-0000-0700-000012000000}" name="17" totalsRowFunction="count" dataDxfId="403" totalsRowDxfId="402"/>
    <tableColumn id="19" xr3:uid="{00000000-0010-0000-0700-000013000000}" name="18" totalsRowFunction="count" dataDxfId="401" totalsRowDxfId="400"/>
    <tableColumn id="20" xr3:uid="{00000000-0010-0000-0700-000014000000}" name="19" totalsRowFunction="count" dataDxfId="399" totalsRowDxfId="398"/>
    <tableColumn id="21" xr3:uid="{00000000-0010-0000-0700-000015000000}" name="20" totalsRowFunction="count" dataDxfId="397" totalsRowDxfId="396"/>
    <tableColumn id="22" xr3:uid="{00000000-0010-0000-0700-000016000000}" name="21" totalsRowFunction="count" dataDxfId="395" totalsRowDxfId="394"/>
    <tableColumn id="23" xr3:uid="{00000000-0010-0000-0700-000017000000}" name="22" totalsRowFunction="count" dataDxfId="393" totalsRowDxfId="392"/>
    <tableColumn id="24" xr3:uid="{00000000-0010-0000-0700-000018000000}" name="23" totalsRowFunction="count" dataDxfId="391" totalsRowDxfId="390"/>
    <tableColumn id="25" xr3:uid="{00000000-0010-0000-0700-000019000000}" name="24" totalsRowFunction="count" dataDxfId="389" totalsRowDxfId="388"/>
    <tableColumn id="26" xr3:uid="{00000000-0010-0000-0700-00001A000000}" name="25" totalsRowFunction="count" dataDxfId="387" totalsRowDxfId="386"/>
    <tableColumn id="27" xr3:uid="{00000000-0010-0000-0700-00001B000000}" name="26" totalsRowFunction="count" dataDxfId="385" totalsRowDxfId="384"/>
    <tableColumn id="28" xr3:uid="{00000000-0010-0000-0700-00001C000000}" name="27" totalsRowFunction="count" dataDxfId="383" totalsRowDxfId="382"/>
    <tableColumn id="29" xr3:uid="{00000000-0010-0000-0700-00001D000000}" name="28" totalsRowFunction="count" dataDxfId="381" totalsRowDxfId="380"/>
    <tableColumn id="30" xr3:uid="{00000000-0010-0000-0700-00001E000000}" name="29" totalsRowFunction="count" dataDxfId="379" totalsRowDxfId="378"/>
    <tableColumn id="31" xr3:uid="{00000000-0010-0000-0700-00001F000000}" name="30" totalsRowFunction="count" dataDxfId="377" totalsRowDxfId="376"/>
    <tableColumn id="32" xr3:uid="{00000000-0010-0000-0700-000020000000}" name="31" totalsRowFunction="count" dataDxfId="375" totalsRowDxfId="374"/>
    <tableColumn id="33" xr3:uid="{00000000-0010-0000-0700-000021000000}" name="Total des jours" totalsRowFunction="sum" dataDxfId="373" totalsRowDxfId="372">
      <calculatedColumnFormula>COUNTA(Août[[#This Row],[1]:[31]])</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8000000}" name="Septembre" displayName="Septembre" ref="B6:AH12" totalsRowCount="1" headerRowDxfId="371" dataDxfId="370" totalsRowDxfId="369">
  <tableColumns count="33">
    <tableColumn id="1" xr3:uid="{00000000-0010-0000-0800-000001000000}" name="Nom de l’employé" totalsRowFunction="custom" dataDxfId="368" totalsRowDxfId="367" dataCellStyle="Employé">
      <totalsRowFormula>NomMois&amp;" Total"</totalsRowFormula>
    </tableColumn>
    <tableColumn id="2" xr3:uid="{00000000-0010-0000-0800-000002000000}" name="1" totalsRowFunction="count" dataDxfId="366" totalsRowDxfId="365"/>
    <tableColumn id="3" xr3:uid="{00000000-0010-0000-0800-000003000000}" name="2" totalsRowFunction="count" dataDxfId="364" totalsRowDxfId="363"/>
    <tableColumn id="4" xr3:uid="{00000000-0010-0000-0800-000004000000}" name="3" totalsRowFunction="count" dataDxfId="362" totalsRowDxfId="361"/>
    <tableColumn id="5" xr3:uid="{00000000-0010-0000-0800-000005000000}" name="4" totalsRowFunction="count" dataDxfId="360" totalsRowDxfId="359"/>
    <tableColumn id="6" xr3:uid="{00000000-0010-0000-0800-000006000000}" name="5" totalsRowFunction="count" dataDxfId="358" totalsRowDxfId="357"/>
    <tableColumn id="7" xr3:uid="{00000000-0010-0000-0800-000007000000}" name="6" totalsRowFunction="count" dataDxfId="356" totalsRowDxfId="355"/>
    <tableColumn id="8" xr3:uid="{00000000-0010-0000-0800-000008000000}" name="7" totalsRowFunction="count" dataDxfId="354" totalsRowDxfId="353"/>
    <tableColumn id="9" xr3:uid="{00000000-0010-0000-0800-000009000000}" name="8" totalsRowFunction="count" dataDxfId="352" totalsRowDxfId="351"/>
    <tableColumn id="10" xr3:uid="{00000000-0010-0000-0800-00000A000000}" name="9" totalsRowFunction="count" dataDxfId="350" totalsRowDxfId="349"/>
    <tableColumn id="11" xr3:uid="{00000000-0010-0000-0800-00000B000000}" name="10" totalsRowFunction="count" dataDxfId="348" totalsRowDxfId="347"/>
    <tableColumn id="12" xr3:uid="{00000000-0010-0000-0800-00000C000000}" name="11" totalsRowFunction="count" dataDxfId="346" totalsRowDxfId="345"/>
    <tableColumn id="13" xr3:uid="{00000000-0010-0000-0800-00000D000000}" name="12" totalsRowFunction="count" dataDxfId="344" totalsRowDxfId="343"/>
    <tableColumn id="14" xr3:uid="{00000000-0010-0000-0800-00000E000000}" name="13" totalsRowFunction="count" dataDxfId="342" totalsRowDxfId="341"/>
    <tableColumn id="15" xr3:uid="{00000000-0010-0000-0800-00000F000000}" name="14" totalsRowFunction="count" dataDxfId="340" totalsRowDxfId="339"/>
    <tableColumn id="16" xr3:uid="{00000000-0010-0000-0800-000010000000}" name="15" totalsRowFunction="count" dataDxfId="338" totalsRowDxfId="337"/>
    <tableColumn id="17" xr3:uid="{00000000-0010-0000-0800-000011000000}" name="16" totalsRowFunction="count" dataDxfId="336" totalsRowDxfId="335"/>
    <tableColumn id="18" xr3:uid="{00000000-0010-0000-0800-000012000000}" name="17" totalsRowFunction="count" dataDxfId="334" totalsRowDxfId="333"/>
    <tableColumn id="19" xr3:uid="{00000000-0010-0000-0800-000013000000}" name="18" totalsRowFunction="count" dataDxfId="332" totalsRowDxfId="331"/>
    <tableColumn id="20" xr3:uid="{00000000-0010-0000-0800-000014000000}" name="19" totalsRowFunction="count" dataDxfId="330" totalsRowDxfId="329"/>
    <tableColumn id="21" xr3:uid="{00000000-0010-0000-0800-000015000000}" name="20" totalsRowFunction="count" dataDxfId="328" totalsRowDxfId="327"/>
    <tableColumn id="22" xr3:uid="{00000000-0010-0000-0800-000016000000}" name="21" totalsRowFunction="count" dataDxfId="326" totalsRowDxfId="325"/>
    <tableColumn id="23" xr3:uid="{00000000-0010-0000-0800-000017000000}" name="22" totalsRowFunction="count" dataDxfId="324" totalsRowDxfId="323"/>
    <tableColumn id="24" xr3:uid="{00000000-0010-0000-0800-000018000000}" name="23" totalsRowFunction="count" dataDxfId="322" totalsRowDxfId="321"/>
    <tableColumn id="25" xr3:uid="{00000000-0010-0000-0800-000019000000}" name="24" totalsRowFunction="count" dataDxfId="320" totalsRowDxfId="319"/>
    <tableColumn id="26" xr3:uid="{00000000-0010-0000-0800-00001A000000}" name="25" totalsRowFunction="count" dataDxfId="318" totalsRowDxfId="317"/>
    <tableColumn id="27" xr3:uid="{00000000-0010-0000-0800-00001B000000}" name="26" totalsRowFunction="count" dataDxfId="316" totalsRowDxfId="315"/>
    <tableColumn id="28" xr3:uid="{00000000-0010-0000-0800-00001C000000}" name="27" totalsRowFunction="count" dataDxfId="314" totalsRowDxfId="313"/>
    <tableColumn id="29" xr3:uid="{00000000-0010-0000-0800-00001D000000}" name="28" totalsRowFunction="count" dataDxfId="312" totalsRowDxfId="311"/>
    <tableColumn id="30" xr3:uid="{00000000-0010-0000-0800-00001E000000}" name="29" totalsRowFunction="count" dataDxfId="310" totalsRowDxfId="309"/>
    <tableColumn id="31" xr3:uid="{00000000-0010-0000-0800-00001F000000}" name="30" totalsRowFunction="count" dataDxfId="308" totalsRowDxfId="307"/>
    <tableColumn id="32" xr3:uid="{00000000-0010-0000-0800-000020000000}" name=" " totalsRowFunction="count" dataDxfId="306" totalsRowDxfId="305"/>
    <tableColumn id="33" xr3:uid="{00000000-0010-0000-0800-000021000000}" name="Total des jours" totalsRowFunction="sum" dataDxfId="304" totalsRowDxfId="303">
      <calculatedColumnFormula>COUNTA(Septembre[[#This Row],[1]:[30]])</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9000000}" name="Octobre" displayName="Octobre" ref="B6:AH12" totalsRowCount="1" headerRowDxfId="302" dataDxfId="301" totalsRowDxfId="300">
  <tableColumns count="33">
    <tableColumn id="1" xr3:uid="{00000000-0010-0000-0900-000001000000}" name="Nom de l’employé" totalsRowFunction="custom" dataDxfId="299" totalsRowDxfId="298" dataCellStyle="Employé">
      <totalsRowFormula>NomMois&amp;" Total"</totalsRowFormula>
    </tableColumn>
    <tableColumn id="2" xr3:uid="{00000000-0010-0000-0900-000002000000}" name="1" totalsRowFunction="count" dataDxfId="297" totalsRowDxfId="296"/>
    <tableColumn id="3" xr3:uid="{00000000-0010-0000-0900-000003000000}" name="2" totalsRowFunction="count" dataDxfId="295" totalsRowDxfId="294"/>
    <tableColumn id="4" xr3:uid="{00000000-0010-0000-0900-000004000000}" name="3" totalsRowFunction="count" dataDxfId="293" totalsRowDxfId="292"/>
    <tableColumn id="5" xr3:uid="{00000000-0010-0000-0900-000005000000}" name="4" totalsRowFunction="count" dataDxfId="291" totalsRowDxfId="290"/>
    <tableColumn id="6" xr3:uid="{00000000-0010-0000-0900-000006000000}" name="5" totalsRowFunction="count" dataDxfId="289" totalsRowDxfId="288"/>
    <tableColumn id="7" xr3:uid="{00000000-0010-0000-0900-000007000000}" name="6" totalsRowFunction="count" dataDxfId="287" totalsRowDxfId="286"/>
    <tableColumn id="8" xr3:uid="{00000000-0010-0000-0900-000008000000}" name="7" totalsRowFunction="count" dataDxfId="285" totalsRowDxfId="284"/>
    <tableColumn id="9" xr3:uid="{00000000-0010-0000-0900-000009000000}" name="8" totalsRowFunction="count" dataDxfId="283" totalsRowDxfId="282"/>
    <tableColumn id="10" xr3:uid="{00000000-0010-0000-0900-00000A000000}" name="9" totalsRowFunction="count" dataDxfId="281" totalsRowDxfId="280"/>
    <tableColumn id="11" xr3:uid="{00000000-0010-0000-0900-00000B000000}" name="10" totalsRowFunction="count" dataDxfId="279" totalsRowDxfId="278"/>
    <tableColumn id="12" xr3:uid="{00000000-0010-0000-0900-00000C000000}" name="11" totalsRowFunction="count" dataDxfId="277" totalsRowDxfId="276"/>
    <tableColumn id="13" xr3:uid="{00000000-0010-0000-0900-00000D000000}" name="12" totalsRowFunction="count" dataDxfId="275" totalsRowDxfId="274"/>
    <tableColumn id="14" xr3:uid="{00000000-0010-0000-0900-00000E000000}" name="13" totalsRowFunction="count" dataDxfId="273" totalsRowDxfId="272"/>
    <tableColumn id="15" xr3:uid="{00000000-0010-0000-0900-00000F000000}" name="14" totalsRowFunction="count" dataDxfId="271" totalsRowDxfId="270"/>
    <tableColumn id="16" xr3:uid="{00000000-0010-0000-0900-000010000000}" name="15" totalsRowFunction="count" dataDxfId="269" totalsRowDxfId="268"/>
    <tableColumn id="17" xr3:uid="{00000000-0010-0000-0900-000011000000}" name="16" totalsRowFunction="count" dataDxfId="267" totalsRowDxfId="266"/>
    <tableColumn id="18" xr3:uid="{00000000-0010-0000-0900-000012000000}" name="17" totalsRowFunction="count" dataDxfId="265" totalsRowDxfId="264"/>
    <tableColumn id="19" xr3:uid="{00000000-0010-0000-0900-000013000000}" name="18" totalsRowFunction="count" dataDxfId="263" totalsRowDxfId="262"/>
    <tableColumn id="20" xr3:uid="{00000000-0010-0000-0900-000014000000}" name="19" totalsRowFunction="count" dataDxfId="261" totalsRowDxfId="260"/>
    <tableColumn id="21" xr3:uid="{00000000-0010-0000-0900-000015000000}" name="20" totalsRowFunction="count" dataDxfId="259" totalsRowDxfId="258"/>
    <tableColumn id="22" xr3:uid="{00000000-0010-0000-0900-000016000000}" name="21" totalsRowFunction="count" dataDxfId="257" totalsRowDxfId="256"/>
    <tableColumn id="23" xr3:uid="{00000000-0010-0000-0900-000017000000}" name="22" totalsRowFunction="count" dataDxfId="255" totalsRowDxfId="254"/>
    <tableColumn id="24" xr3:uid="{00000000-0010-0000-0900-000018000000}" name="23" totalsRowFunction="count" dataDxfId="253" totalsRowDxfId="252"/>
    <tableColumn id="25" xr3:uid="{00000000-0010-0000-0900-000019000000}" name="24" totalsRowFunction="count" dataDxfId="251" totalsRowDxfId="250"/>
    <tableColumn id="26" xr3:uid="{00000000-0010-0000-0900-00001A000000}" name="25" totalsRowFunction="count" dataDxfId="249" totalsRowDxfId="248"/>
    <tableColumn id="27" xr3:uid="{00000000-0010-0000-0900-00001B000000}" name="26" totalsRowFunction="count" dataDxfId="247" totalsRowDxfId="246"/>
    <tableColumn id="28" xr3:uid="{00000000-0010-0000-0900-00001C000000}" name="27" totalsRowFunction="count" dataDxfId="245" totalsRowDxfId="244"/>
    <tableColumn id="29" xr3:uid="{00000000-0010-0000-0900-00001D000000}" name="28" totalsRowFunction="count" dataDxfId="243" totalsRowDxfId="242"/>
    <tableColumn id="30" xr3:uid="{00000000-0010-0000-0900-00001E000000}" name="29" totalsRowFunction="count" dataDxfId="241" totalsRowDxfId="240"/>
    <tableColumn id="31" xr3:uid="{00000000-0010-0000-0900-00001F000000}" name="30" totalsRowFunction="count" dataDxfId="239" totalsRowDxfId="238"/>
    <tableColumn id="32" xr3:uid="{00000000-0010-0000-0900-000020000000}" name="31" totalsRowFunction="count" dataDxfId="237" totalsRowDxfId="236"/>
    <tableColumn id="33" xr3:uid="{00000000-0010-0000-0900-000021000000}" name="Total des jours" totalsRowFunction="sum" dataDxfId="235" totalsRowDxfId="234">
      <calculatedColumnFormula>COUNTA(Octobre[[#This Row],[1]:[31]])</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A000000}" name="Novembre" displayName="Novembre" ref="B6:AH12" totalsRowCount="1" headerRowDxfId="233" dataDxfId="232" totalsRowDxfId="231">
  <tableColumns count="33">
    <tableColumn id="1" xr3:uid="{00000000-0010-0000-0A00-000001000000}" name="Nom de l’employé" totalsRowFunction="custom" dataDxfId="230" totalsRowDxfId="229" dataCellStyle="Employé">
      <totalsRowFormula>NomMois&amp;" Total"</totalsRowFormula>
    </tableColumn>
    <tableColumn id="2" xr3:uid="{00000000-0010-0000-0A00-000002000000}" name="1" totalsRowFunction="count" dataDxfId="228" totalsRowDxfId="227"/>
    <tableColumn id="3" xr3:uid="{00000000-0010-0000-0A00-000003000000}" name="2" totalsRowFunction="count" dataDxfId="226" totalsRowDxfId="225"/>
    <tableColumn id="4" xr3:uid="{00000000-0010-0000-0A00-000004000000}" name="3" totalsRowFunction="count" dataDxfId="224" totalsRowDxfId="223"/>
    <tableColumn id="5" xr3:uid="{00000000-0010-0000-0A00-000005000000}" name="4" totalsRowFunction="count" dataDxfId="222" totalsRowDxfId="221"/>
    <tableColumn id="6" xr3:uid="{00000000-0010-0000-0A00-000006000000}" name="5" totalsRowFunction="count" dataDxfId="220" totalsRowDxfId="219"/>
    <tableColumn id="7" xr3:uid="{00000000-0010-0000-0A00-000007000000}" name="6" totalsRowFunction="count" dataDxfId="218" totalsRowDxfId="217"/>
    <tableColumn id="8" xr3:uid="{00000000-0010-0000-0A00-000008000000}" name="7" totalsRowFunction="count" dataDxfId="216" totalsRowDxfId="215"/>
    <tableColumn id="9" xr3:uid="{00000000-0010-0000-0A00-000009000000}" name="8" totalsRowFunction="count" dataDxfId="214" totalsRowDxfId="213"/>
    <tableColumn id="10" xr3:uid="{00000000-0010-0000-0A00-00000A000000}" name="9" totalsRowFunction="count" dataDxfId="212" totalsRowDxfId="211"/>
    <tableColumn id="11" xr3:uid="{00000000-0010-0000-0A00-00000B000000}" name="10" totalsRowFunction="count" dataDxfId="210" totalsRowDxfId="209"/>
    <tableColumn id="12" xr3:uid="{00000000-0010-0000-0A00-00000C000000}" name="11" totalsRowFunction="count" dataDxfId="208" totalsRowDxfId="207"/>
    <tableColumn id="13" xr3:uid="{00000000-0010-0000-0A00-00000D000000}" name="12" totalsRowFunction="count" dataDxfId="206" totalsRowDxfId="205"/>
    <tableColumn id="14" xr3:uid="{00000000-0010-0000-0A00-00000E000000}" name="13" totalsRowFunction="count" dataDxfId="204" totalsRowDxfId="203"/>
    <tableColumn id="15" xr3:uid="{00000000-0010-0000-0A00-00000F000000}" name="14" totalsRowFunction="count" dataDxfId="202" totalsRowDxfId="201"/>
    <tableColumn id="16" xr3:uid="{00000000-0010-0000-0A00-000010000000}" name="15" totalsRowFunction="count" dataDxfId="200" totalsRowDxfId="199"/>
    <tableColumn id="17" xr3:uid="{00000000-0010-0000-0A00-000011000000}" name="16" totalsRowFunction="count" dataDxfId="198" totalsRowDxfId="197"/>
    <tableColumn id="18" xr3:uid="{00000000-0010-0000-0A00-000012000000}" name="17" totalsRowFunction="count" dataDxfId="196" totalsRowDxfId="195"/>
    <tableColumn id="19" xr3:uid="{00000000-0010-0000-0A00-000013000000}" name="18" totalsRowFunction="count" dataDxfId="194" totalsRowDxfId="193"/>
    <tableColumn id="20" xr3:uid="{00000000-0010-0000-0A00-000014000000}" name="19" totalsRowFunction="count" dataDxfId="192" totalsRowDxfId="191"/>
    <tableColumn id="21" xr3:uid="{00000000-0010-0000-0A00-000015000000}" name="20" totalsRowFunction="count" dataDxfId="190" totalsRowDxfId="189"/>
    <tableColumn id="22" xr3:uid="{00000000-0010-0000-0A00-000016000000}" name="21" totalsRowFunction="count" dataDxfId="188" totalsRowDxfId="187"/>
    <tableColumn id="23" xr3:uid="{00000000-0010-0000-0A00-000017000000}" name="22" totalsRowFunction="count" dataDxfId="186" totalsRowDxfId="185"/>
    <tableColumn id="24" xr3:uid="{00000000-0010-0000-0A00-000018000000}" name="23" totalsRowFunction="count" dataDxfId="184" totalsRowDxfId="183"/>
    <tableColumn id="25" xr3:uid="{00000000-0010-0000-0A00-000019000000}" name="24" totalsRowFunction="count" dataDxfId="182" totalsRowDxfId="181"/>
    <tableColumn id="26" xr3:uid="{00000000-0010-0000-0A00-00001A000000}" name="25" totalsRowFunction="count" dataDxfId="180" totalsRowDxfId="179"/>
    <tableColumn id="27" xr3:uid="{00000000-0010-0000-0A00-00001B000000}" name="26" totalsRowFunction="count" dataDxfId="178" totalsRowDxfId="177"/>
    <tableColumn id="28" xr3:uid="{00000000-0010-0000-0A00-00001C000000}" name="27" totalsRowFunction="count" dataDxfId="176" totalsRowDxfId="175"/>
    <tableColumn id="29" xr3:uid="{00000000-0010-0000-0A00-00001D000000}" name="28" totalsRowFunction="count" dataDxfId="174" totalsRowDxfId="173"/>
    <tableColumn id="30" xr3:uid="{00000000-0010-0000-0A00-00001E000000}" name="29" totalsRowFunction="count" dataDxfId="172" totalsRowDxfId="171"/>
    <tableColumn id="31" xr3:uid="{00000000-0010-0000-0A00-00001F000000}" name="30" totalsRowFunction="count" dataDxfId="170" totalsRowDxfId="169"/>
    <tableColumn id="32" xr3:uid="{00000000-0010-0000-0A00-000020000000}" name=" " totalsRowFunction="count" dataDxfId="168" totalsRowDxfId="167"/>
    <tableColumn id="33" xr3:uid="{00000000-0010-0000-0A00-000021000000}" name="Total des jours" totalsRowFunction="sum" dataDxfId="166" totalsRowDxfId="165">
      <calculatedColumnFormula>COUNTA(Novembre[[#This Row],[1]:[30]])</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Décembre" displayName="Décembre" ref="B6:AH12" totalsRowCount="1" headerRowDxfId="164" dataDxfId="163" totalsRowDxfId="162">
  <tableColumns count="33">
    <tableColumn id="1" xr3:uid="{00000000-0010-0000-0B00-000001000000}" name="Nom de l’employé" totalsRowFunction="custom" dataDxfId="161" totalsRowDxfId="160" dataCellStyle="Employé">
      <totalsRowFormula>NomMois&amp;" Total"</totalsRowFormula>
    </tableColumn>
    <tableColumn id="2" xr3:uid="{00000000-0010-0000-0B00-000002000000}" name="1" totalsRowFunction="count" dataDxfId="159" totalsRowDxfId="158"/>
    <tableColumn id="3" xr3:uid="{00000000-0010-0000-0B00-000003000000}" name="2" totalsRowFunction="count" dataDxfId="157" totalsRowDxfId="156"/>
    <tableColumn id="4" xr3:uid="{00000000-0010-0000-0B00-000004000000}" name="3" totalsRowFunction="count" dataDxfId="155" totalsRowDxfId="154"/>
    <tableColumn id="5" xr3:uid="{00000000-0010-0000-0B00-000005000000}" name="4" totalsRowFunction="count" dataDxfId="153" totalsRowDxfId="152"/>
    <tableColumn id="6" xr3:uid="{00000000-0010-0000-0B00-000006000000}" name="5" totalsRowFunction="count" dataDxfId="151" totalsRowDxfId="150"/>
    <tableColumn id="7" xr3:uid="{00000000-0010-0000-0B00-000007000000}" name="6" totalsRowFunction="count" dataDxfId="149" totalsRowDxfId="148"/>
    <tableColumn id="8" xr3:uid="{00000000-0010-0000-0B00-000008000000}" name="7" totalsRowFunction="count" dataDxfId="147" totalsRowDxfId="146"/>
    <tableColumn id="9" xr3:uid="{00000000-0010-0000-0B00-000009000000}" name="8" totalsRowFunction="count" dataDxfId="145" totalsRowDxfId="144"/>
    <tableColumn id="10" xr3:uid="{00000000-0010-0000-0B00-00000A000000}" name="9" totalsRowFunction="count" dataDxfId="143" totalsRowDxfId="142"/>
    <tableColumn id="11" xr3:uid="{00000000-0010-0000-0B00-00000B000000}" name="10" totalsRowFunction="count" dataDxfId="141" totalsRowDxfId="140"/>
    <tableColumn id="12" xr3:uid="{00000000-0010-0000-0B00-00000C000000}" name="11" totalsRowFunction="count" dataDxfId="139" totalsRowDxfId="138"/>
    <tableColumn id="13" xr3:uid="{00000000-0010-0000-0B00-00000D000000}" name="12" totalsRowFunction="count" dataDxfId="137" totalsRowDxfId="136"/>
    <tableColumn id="14" xr3:uid="{00000000-0010-0000-0B00-00000E000000}" name="13" totalsRowFunction="count" dataDxfId="135" totalsRowDxfId="134"/>
    <tableColumn id="15" xr3:uid="{00000000-0010-0000-0B00-00000F000000}" name="14" totalsRowFunction="count" dataDxfId="133" totalsRowDxfId="132"/>
    <tableColumn id="16" xr3:uid="{00000000-0010-0000-0B00-000010000000}" name="15" totalsRowFunction="count" dataDxfId="131" totalsRowDxfId="130"/>
    <tableColumn id="17" xr3:uid="{00000000-0010-0000-0B00-000011000000}" name="16" totalsRowFunction="count" dataDxfId="129" totalsRowDxfId="128"/>
    <tableColumn id="18" xr3:uid="{00000000-0010-0000-0B00-000012000000}" name="17" totalsRowFunction="count" dataDxfId="127" totalsRowDxfId="126"/>
    <tableColumn id="19" xr3:uid="{00000000-0010-0000-0B00-000013000000}" name="18" totalsRowFunction="count" dataDxfId="125" totalsRowDxfId="124"/>
    <tableColumn id="20" xr3:uid="{00000000-0010-0000-0B00-000014000000}" name="19" totalsRowFunction="count" dataDxfId="123" totalsRowDxfId="122"/>
    <tableColumn id="21" xr3:uid="{00000000-0010-0000-0B00-000015000000}" name="20" totalsRowFunction="count" dataDxfId="121" totalsRowDxfId="120"/>
    <tableColumn id="22" xr3:uid="{00000000-0010-0000-0B00-000016000000}" name="21" totalsRowFunction="count" dataDxfId="119" totalsRowDxfId="118"/>
    <tableColumn id="23" xr3:uid="{00000000-0010-0000-0B00-000017000000}" name="22" totalsRowFunction="count" dataDxfId="117" totalsRowDxfId="116"/>
    <tableColumn id="24" xr3:uid="{00000000-0010-0000-0B00-000018000000}" name="23" totalsRowFunction="count" dataDxfId="115" totalsRowDxfId="114"/>
    <tableColumn id="25" xr3:uid="{00000000-0010-0000-0B00-000019000000}" name="24" totalsRowFunction="count" dataDxfId="113" totalsRowDxfId="112"/>
    <tableColumn id="26" xr3:uid="{00000000-0010-0000-0B00-00001A000000}" name="25" totalsRowFunction="count" dataDxfId="111" totalsRowDxfId="110"/>
    <tableColumn id="27" xr3:uid="{00000000-0010-0000-0B00-00001B000000}" name="26" totalsRowFunction="count" dataDxfId="109" totalsRowDxfId="108"/>
    <tableColumn id="28" xr3:uid="{00000000-0010-0000-0B00-00001C000000}" name="27" totalsRowFunction="count" dataDxfId="107" totalsRowDxfId="106"/>
    <tableColumn id="29" xr3:uid="{00000000-0010-0000-0B00-00001D000000}" name="28" totalsRowFunction="count" dataDxfId="105" totalsRowDxfId="104"/>
    <tableColumn id="30" xr3:uid="{00000000-0010-0000-0B00-00001E000000}" name="29" totalsRowFunction="count" dataDxfId="103" totalsRowDxfId="102"/>
    <tableColumn id="31" xr3:uid="{00000000-0010-0000-0B00-00001F000000}" name="30" totalsRowFunction="count" dataDxfId="101" totalsRowDxfId="100"/>
    <tableColumn id="32" xr3:uid="{00000000-0010-0000-0B00-000020000000}" name="31" totalsRowFunction="count" dataDxfId="99" totalsRowDxfId="98"/>
    <tableColumn id="33" xr3:uid="{00000000-0010-0000-0B00-000021000000}" name="Total des jours" totalsRowFunction="sum" dataDxfId="97" totalsRowDxfId="96">
      <calculatedColumnFormula>COUNTA(Décembre[[#This Row],[1]:[31]])</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Fournit une liste de noms et des dates de calendrier pour enregistrer les absences et motifs d’absence des employés (C= Congé, M=Maladie, P=Personnel, et deux espaces réservés pour des entrées personnalisées)"/>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NomEmployé" displayName="NomEmployé" ref="B3:B8">
  <autoFilter ref="B3:B8" xr:uid="{00000000-0009-0000-0100-00000D000000}"/>
  <tableColumns count="1">
    <tableColumn id="1" xr3:uid="{00000000-0010-0000-0C00-000001000000}" name="Noms des employés" totalsRowFunction="count" totalsRowDxfId="95" dataCellStyle="Employé"/>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dans ce tableau. Ces noms sont utilisés en tant qu’options dans la colonne B du calendrier des absences de chaque mois."/>
    </ext>
  </extLst>
</table>
</file>

<file path=xl/theme/theme1.xml><?xml version="1.0" encoding="utf-8"?>
<a:theme xmlns:a="http://schemas.openxmlformats.org/drawingml/2006/main" name="Office Theme">
  <a:themeElements>
    <a:clrScheme name="Employee Absense Schedule">
      <a:dk1>
        <a:sysClr val="windowText" lastClr="000000"/>
      </a:dk1>
      <a:lt1>
        <a:sysClr val="window" lastClr="FFFFFF"/>
      </a:lt1>
      <a:dk2>
        <a:srgbClr val="4B180E"/>
      </a:dk2>
      <a:lt2>
        <a:srgbClr val="F1F2E8"/>
      </a:lt2>
      <a:accent1>
        <a:srgbClr val="A53423"/>
      </a:accent1>
      <a:accent2>
        <a:srgbClr val="E68130"/>
      </a:accent2>
      <a:accent3>
        <a:srgbClr val="9BB05D"/>
      </a:accent3>
      <a:accent4>
        <a:srgbClr val="CC9900"/>
      </a:accent4>
      <a:accent5>
        <a:srgbClr val="4F66AF"/>
      </a:accent5>
      <a:accent6>
        <a:srgbClr val="D0D2D3"/>
      </a:accent6>
      <a:hlink>
        <a:srgbClr val="4F66AF"/>
      </a:hlink>
      <a:folHlink>
        <a:srgbClr val="6B9AC6"/>
      </a:folHlink>
    </a:clrScheme>
    <a:fontScheme name="Employee Absence Schedule">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89999084444715716"/>
  </sheetPr>
  <dimension ref="A1:AH12"/>
  <sheetViews>
    <sheetView showGridLines="0" tabSelected="1" zoomScaleNormal="100" workbookViewId="0">
      <selection activeCell="B1" sqref="B1"/>
    </sheetView>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1:34" ht="50.15" customHeight="1" x14ac:dyDescent="0.35">
      <c r="A1" s="15"/>
      <c r="B1" s="12" t="s">
        <v>0</v>
      </c>
    </row>
    <row r="2" spans="1: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1:34" ht="15" customHeight="1" x14ac:dyDescent="0.35">
      <c r="AH3" s="17" t="s">
        <v>49</v>
      </c>
    </row>
    <row r="4" spans="1:34" ht="30" customHeight="1" x14ac:dyDescent="0.35">
      <c r="B4" s="10" t="s">
        <v>2</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v>2024</v>
      </c>
    </row>
    <row r="5" spans="1:34" ht="15" customHeight="1" x14ac:dyDescent="0.35">
      <c r="B5" s="10"/>
      <c r="C5" s="2" t="str">
        <f>TEXT(WEEKDAY(DATE(AnnéeCalendrier,1,1),1),"jjj")</f>
        <v>lun</v>
      </c>
      <c r="D5" s="2" t="str">
        <f>TEXT(WEEKDAY(DATE(AnnéeCalendrier,1,2),1),"jjj")</f>
        <v>mar</v>
      </c>
      <c r="E5" s="2" t="str">
        <f>TEXT(WEEKDAY(DATE(AnnéeCalendrier,1,3),1),"jjj")</f>
        <v>mer</v>
      </c>
      <c r="F5" s="2" t="str">
        <f>TEXT(WEEKDAY(DATE(AnnéeCalendrier,1,4),1),"jjj")</f>
        <v>jeu</v>
      </c>
      <c r="G5" s="2" t="str">
        <f>TEXT(WEEKDAY(DATE(AnnéeCalendrier,1,5),1),"jjj")</f>
        <v>ven</v>
      </c>
      <c r="H5" s="2" t="str">
        <f>TEXT(WEEKDAY(DATE(AnnéeCalendrier,1,6),1),"jjj")</f>
        <v>sam</v>
      </c>
      <c r="I5" s="2" t="str">
        <f>TEXT(WEEKDAY(DATE(AnnéeCalendrier,1,7),1),"jjj")</f>
        <v>dim</v>
      </c>
      <c r="J5" s="2" t="str">
        <f>TEXT(WEEKDAY(DATE(AnnéeCalendrier,1,8),1),"jjj")</f>
        <v>lun</v>
      </c>
      <c r="K5" s="2" t="str">
        <f>TEXT(WEEKDAY(DATE(AnnéeCalendrier,1,9),1),"jjj")</f>
        <v>mar</v>
      </c>
      <c r="L5" s="2" t="str">
        <f>TEXT(WEEKDAY(DATE(AnnéeCalendrier,1,10),1),"jjj")</f>
        <v>mer</v>
      </c>
      <c r="M5" s="2" t="str">
        <f>TEXT(WEEKDAY(DATE(AnnéeCalendrier,1,11),1),"jjj")</f>
        <v>jeu</v>
      </c>
      <c r="N5" s="2" t="str">
        <f>TEXT(WEEKDAY(DATE(AnnéeCalendrier,1,12),1),"jjj")</f>
        <v>ven</v>
      </c>
      <c r="O5" s="2" t="str">
        <f>TEXT(WEEKDAY(DATE(AnnéeCalendrier,1,13),1),"jjj")</f>
        <v>sam</v>
      </c>
      <c r="P5" s="2" t="str">
        <f>TEXT(WEEKDAY(DATE(AnnéeCalendrier,1,14),1),"jjj")</f>
        <v>dim</v>
      </c>
      <c r="Q5" s="2" t="str">
        <f>TEXT(WEEKDAY(DATE(AnnéeCalendrier,1,15),1),"jjj")</f>
        <v>lun</v>
      </c>
      <c r="R5" s="2" t="str">
        <f>TEXT(WEEKDAY(DATE(AnnéeCalendrier,1,16),1),"jjj")</f>
        <v>mar</v>
      </c>
      <c r="S5" s="2" t="str">
        <f>TEXT(WEEKDAY(DATE(AnnéeCalendrier,1,17),1),"jjj")</f>
        <v>mer</v>
      </c>
      <c r="T5" s="2" t="str">
        <f>TEXT(WEEKDAY(DATE(AnnéeCalendrier,1,18),1),"jjj")</f>
        <v>jeu</v>
      </c>
      <c r="U5" s="2" t="str">
        <f>TEXT(WEEKDAY(DATE(AnnéeCalendrier,1,19),1),"jjj")</f>
        <v>ven</v>
      </c>
      <c r="V5" s="2" t="str">
        <f>TEXT(WEEKDAY(DATE(AnnéeCalendrier,1,20),1),"jjj")</f>
        <v>sam</v>
      </c>
      <c r="W5" s="2" t="str">
        <f>TEXT(WEEKDAY(DATE(AnnéeCalendrier,1,21),1),"jjj")</f>
        <v>dim</v>
      </c>
      <c r="X5" s="2" t="str">
        <f>TEXT(WEEKDAY(DATE(AnnéeCalendrier,1,22),1),"jjj")</f>
        <v>lun</v>
      </c>
      <c r="Y5" s="2" t="str">
        <f>TEXT(WEEKDAY(DATE(AnnéeCalendrier,1,23),1),"jjj")</f>
        <v>mar</v>
      </c>
      <c r="Z5" s="2" t="str">
        <f>TEXT(WEEKDAY(DATE(AnnéeCalendrier,1,24),1),"jjj")</f>
        <v>mer</v>
      </c>
      <c r="AA5" s="2" t="str">
        <f>TEXT(WEEKDAY(DATE(AnnéeCalendrier,1,25),1),"jjj")</f>
        <v>jeu</v>
      </c>
      <c r="AB5" s="2" t="str">
        <f>TEXT(WEEKDAY(DATE(AnnéeCalendrier,1,26),1),"jjj")</f>
        <v>ven</v>
      </c>
      <c r="AC5" s="2" t="str">
        <f>TEXT(WEEKDAY(DATE(AnnéeCalendrier,1,27),1),"jjj")</f>
        <v>sam</v>
      </c>
      <c r="AD5" s="2" t="str">
        <f>TEXT(WEEKDAY(DATE(AnnéeCalendrier,1,28),1),"jjj")</f>
        <v>dim</v>
      </c>
      <c r="AE5" s="2" t="str">
        <f>TEXT(WEEKDAY(DATE(AnnéeCalendrier,1,29),1),"jjj")</f>
        <v>lun</v>
      </c>
      <c r="AF5" s="2" t="str">
        <f>TEXT(WEEKDAY(DATE(AnnéeCalendrier,1,30),1),"jjj")</f>
        <v>mar</v>
      </c>
      <c r="AG5" s="2" t="str">
        <f>TEXT(WEEKDAY(DATE(AnnéeCalendrier,1,31),1),"jjj")</f>
        <v>mer</v>
      </c>
      <c r="AH5" s="10"/>
    </row>
    <row r="6" spans="1: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48</v>
      </c>
      <c r="AH6" s="14" t="s">
        <v>50</v>
      </c>
    </row>
    <row r="7" spans="1:34" ht="30" customHeight="1" x14ac:dyDescent="0.35">
      <c r="B7" s="8" t="s">
        <v>4</v>
      </c>
      <c r="C7" s="2"/>
      <c r="D7" s="2"/>
      <c r="E7" s="2" t="s">
        <v>9</v>
      </c>
      <c r="F7" s="2" t="s">
        <v>9</v>
      </c>
      <c r="G7" s="2" t="s">
        <v>9</v>
      </c>
      <c r="H7" s="2" t="s">
        <v>9</v>
      </c>
      <c r="I7" s="2"/>
      <c r="J7" s="2"/>
      <c r="K7" s="2"/>
      <c r="L7" s="2"/>
      <c r="M7" s="2"/>
      <c r="N7" s="2"/>
      <c r="O7" s="2" t="s">
        <v>9</v>
      </c>
      <c r="P7" s="2"/>
      <c r="Q7" s="2"/>
      <c r="R7" s="2"/>
      <c r="S7" s="2"/>
      <c r="T7" s="2"/>
      <c r="U7" s="2"/>
      <c r="V7" s="2"/>
      <c r="W7" s="2"/>
      <c r="X7" s="2"/>
      <c r="Y7" s="2"/>
      <c r="Z7" s="2"/>
      <c r="AA7" s="2"/>
      <c r="AB7" s="2"/>
      <c r="AC7" s="2"/>
      <c r="AD7" s="2"/>
      <c r="AE7" s="2"/>
      <c r="AF7" s="2"/>
      <c r="AG7" s="2"/>
      <c r="AH7" s="9">
        <f>COUNTA(Janvier!$C7:$AG7)</f>
        <v>5</v>
      </c>
    </row>
    <row r="8" spans="1:34" ht="30" customHeight="1" x14ac:dyDescent="0.35">
      <c r="B8" s="8" t="s">
        <v>5</v>
      </c>
      <c r="C8" s="2"/>
      <c r="D8" s="2"/>
      <c r="E8" s="2"/>
      <c r="F8" s="2"/>
      <c r="G8" s="2" t="s">
        <v>17</v>
      </c>
      <c r="H8" s="2" t="s">
        <v>17</v>
      </c>
      <c r="I8" s="2"/>
      <c r="J8" s="2"/>
      <c r="K8" s="2"/>
      <c r="L8" s="2"/>
      <c r="M8" s="2" t="s">
        <v>15</v>
      </c>
      <c r="N8" s="2"/>
      <c r="O8" s="2"/>
      <c r="P8" s="2"/>
      <c r="Q8" s="2"/>
      <c r="R8" s="2"/>
      <c r="S8" s="2"/>
      <c r="T8" s="2"/>
      <c r="U8" s="2"/>
      <c r="V8" s="2" t="s">
        <v>17</v>
      </c>
      <c r="W8" s="2"/>
      <c r="X8" s="2"/>
      <c r="Y8" s="2"/>
      <c r="Z8" s="2"/>
      <c r="AA8" s="2" t="s">
        <v>9</v>
      </c>
      <c r="AB8" s="2" t="s">
        <v>9</v>
      </c>
      <c r="AC8" s="2" t="s">
        <v>9</v>
      </c>
      <c r="AD8" s="2"/>
      <c r="AE8" s="2"/>
      <c r="AF8" s="2"/>
      <c r="AG8" s="2"/>
      <c r="AH8" s="9">
        <f>COUNTA(Janvier!$C8:$AG8)</f>
        <v>7</v>
      </c>
    </row>
    <row r="9" spans="1:34" ht="30" customHeight="1" x14ac:dyDescent="0.35">
      <c r="B9" s="8" t="s">
        <v>6</v>
      </c>
      <c r="C9" s="2"/>
      <c r="D9" s="2"/>
      <c r="E9" s="2" t="s">
        <v>15</v>
      </c>
      <c r="F9" s="2"/>
      <c r="G9" s="2"/>
      <c r="H9" s="2"/>
      <c r="I9" s="2"/>
      <c r="J9" s="2"/>
      <c r="K9" s="2"/>
      <c r="L9" s="2"/>
      <c r="M9" s="2"/>
      <c r="N9" s="2"/>
      <c r="O9" s="2"/>
      <c r="P9" s="2" t="s">
        <v>17</v>
      </c>
      <c r="Q9" s="2"/>
      <c r="R9" s="2"/>
      <c r="S9" s="2"/>
      <c r="T9" s="2"/>
      <c r="U9" s="2"/>
      <c r="V9" s="2"/>
      <c r="W9" s="2"/>
      <c r="X9" s="2"/>
      <c r="Y9" s="2"/>
      <c r="Z9" s="2"/>
      <c r="AA9" s="2"/>
      <c r="AB9" s="2"/>
      <c r="AC9" s="2"/>
      <c r="AD9" s="2"/>
      <c r="AE9" s="2" t="s">
        <v>17</v>
      </c>
      <c r="AF9" s="2"/>
      <c r="AG9" s="2"/>
      <c r="AH9" s="9">
        <f>COUNTA(Janvier!$C9:$AG9)</f>
        <v>3</v>
      </c>
    </row>
    <row r="10" spans="1:34" ht="30" customHeight="1" x14ac:dyDescent="0.35">
      <c r="B10" s="8" t="s">
        <v>7</v>
      </c>
      <c r="C10" s="2"/>
      <c r="D10" s="2"/>
      <c r="E10" s="2"/>
      <c r="F10" s="2"/>
      <c r="G10" s="2"/>
      <c r="H10" s="2"/>
      <c r="I10" s="2" t="s">
        <v>15</v>
      </c>
      <c r="J10" s="2"/>
      <c r="K10" s="2"/>
      <c r="L10" s="2"/>
      <c r="M10" s="2"/>
      <c r="N10" s="2"/>
      <c r="O10" s="2"/>
      <c r="P10" s="2"/>
      <c r="Q10" s="2"/>
      <c r="R10" s="2"/>
      <c r="S10" s="2"/>
      <c r="T10" s="2"/>
      <c r="U10" s="2" t="s">
        <v>9</v>
      </c>
      <c r="V10" s="2" t="s">
        <v>9</v>
      </c>
      <c r="W10" s="2" t="s">
        <v>9</v>
      </c>
      <c r="X10" s="2"/>
      <c r="Y10" s="2"/>
      <c r="Z10" s="2"/>
      <c r="AA10" s="2"/>
      <c r="AB10" s="2"/>
      <c r="AC10" s="2"/>
      <c r="AD10" s="2"/>
      <c r="AE10" s="2"/>
      <c r="AF10" s="2"/>
      <c r="AG10" s="2"/>
      <c r="AH10" s="9">
        <f>COUNTA(Janvier!$C10:$AG10)</f>
        <v>4</v>
      </c>
    </row>
    <row r="11" spans="1:34" ht="30" customHeight="1" x14ac:dyDescent="0.35">
      <c r="B11" s="8" t="s">
        <v>8</v>
      </c>
      <c r="C11" s="2"/>
      <c r="D11" s="2"/>
      <c r="E11" s="2"/>
      <c r="F11" s="2" t="s">
        <v>17</v>
      </c>
      <c r="G11" s="2" t="s">
        <v>9</v>
      </c>
      <c r="H11" s="2" t="s">
        <v>9</v>
      </c>
      <c r="I11" s="2"/>
      <c r="J11" s="2"/>
      <c r="K11" s="2"/>
      <c r="L11" s="2"/>
      <c r="M11" s="2"/>
      <c r="N11" s="2"/>
      <c r="O11" s="2"/>
      <c r="P11" s="2"/>
      <c r="Q11" s="2"/>
      <c r="R11" s="2"/>
      <c r="S11" s="2" t="s">
        <v>17</v>
      </c>
      <c r="T11" s="2"/>
      <c r="U11" s="2"/>
      <c r="V11" s="2"/>
      <c r="W11" s="2"/>
      <c r="X11" s="2"/>
      <c r="Y11" s="2"/>
      <c r="Z11" s="2" t="s">
        <v>17</v>
      </c>
      <c r="AA11" s="2"/>
      <c r="AB11" s="2"/>
      <c r="AC11" s="2"/>
      <c r="AD11" s="2"/>
      <c r="AE11" s="2"/>
      <c r="AF11" s="2"/>
      <c r="AG11" s="2" t="s">
        <v>9</v>
      </c>
      <c r="AH11" s="9">
        <f>COUNTA(Janvier!$C11:$AG11)</f>
        <v>6</v>
      </c>
    </row>
    <row r="12" spans="1:34" ht="30" customHeight="1" x14ac:dyDescent="0.35">
      <c r="B12" s="18" t="str">
        <f>NomMois&amp;" Total"</f>
        <v>Janvier Total</v>
      </c>
      <c r="C12" s="11">
        <f>SUBTOTAL(103,Janvier!$C$7:$C$11)</f>
        <v>0</v>
      </c>
      <c r="D12" s="11">
        <f>SUBTOTAL(103,Janvier!$D$7:$D$11)</f>
        <v>0</v>
      </c>
      <c r="E12" s="11">
        <f>SUBTOTAL(103,Janvier!$E$7:$E$11)</f>
        <v>2</v>
      </c>
      <c r="F12" s="11">
        <f>SUBTOTAL(103,Janvier!$F$7:$F$11)</f>
        <v>2</v>
      </c>
      <c r="G12" s="11">
        <f>SUBTOTAL(103,Janvier!$G$7:$G$11)</f>
        <v>3</v>
      </c>
      <c r="H12" s="11">
        <f>SUBTOTAL(103,Janvier!$H$7:$H$11)</f>
        <v>3</v>
      </c>
      <c r="I12" s="11">
        <f>SUBTOTAL(103,Janvier!$I$7:$I$11)</f>
        <v>1</v>
      </c>
      <c r="J12" s="11">
        <f>SUBTOTAL(103,Janvier!$J$7:$J$11)</f>
        <v>0</v>
      </c>
      <c r="K12" s="11">
        <f>SUBTOTAL(103,Janvier!$K$7:$K$11)</f>
        <v>0</v>
      </c>
      <c r="L12" s="11">
        <f>SUBTOTAL(103,Janvier!$L$7:$L$11)</f>
        <v>0</v>
      </c>
      <c r="M12" s="11">
        <f>SUBTOTAL(103,Janvier!$M$7:$M$11)</f>
        <v>1</v>
      </c>
      <c r="N12" s="11">
        <f>SUBTOTAL(103,Janvier!$N$7:$N$11)</f>
        <v>0</v>
      </c>
      <c r="O12" s="11">
        <f>SUBTOTAL(103,Janvier!$O$7:$O$11)</f>
        <v>1</v>
      </c>
      <c r="P12" s="11">
        <f>SUBTOTAL(103,Janvier!$P$7:$P$11)</f>
        <v>1</v>
      </c>
      <c r="Q12" s="11">
        <f>SUBTOTAL(103,Janvier!$Q$7:$Q$11)</f>
        <v>0</v>
      </c>
      <c r="R12" s="11">
        <f>SUBTOTAL(103,Janvier!$R$7:$R$11)</f>
        <v>0</v>
      </c>
      <c r="S12" s="11">
        <f>SUBTOTAL(103,Janvier!$S$7:$S$11)</f>
        <v>1</v>
      </c>
      <c r="T12" s="11">
        <f>SUBTOTAL(103,Janvier!$T$7:$T$11)</f>
        <v>0</v>
      </c>
      <c r="U12" s="11">
        <f>SUBTOTAL(103,Janvier!$U$7:$U$11)</f>
        <v>1</v>
      </c>
      <c r="V12" s="11">
        <f>SUBTOTAL(103,Janvier!$V$7:$V$11)</f>
        <v>2</v>
      </c>
      <c r="W12" s="11">
        <f>SUBTOTAL(103,Janvier!$W$7:$W$11)</f>
        <v>1</v>
      </c>
      <c r="X12" s="11">
        <f>SUBTOTAL(103,Janvier!$X$7:$X$11)</f>
        <v>0</v>
      </c>
      <c r="Y12" s="11">
        <f>SUBTOTAL(103,Janvier!$Y$7:$Y$11)</f>
        <v>0</v>
      </c>
      <c r="Z12" s="11">
        <f>SUBTOTAL(103,Janvier!$Z$7:$Z$11)</f>
        <v>1</v>
      </c>
      <c r="AA12" s="11">
        <f>SUBTOTAL(103,Janvier!$AA$7:$AA$11)</f>
        <v>1</v>
      </c>
      <c r="AB12" s="11">
        <f>SUBTOTAL(103,Janvier!$AB$7:$AB$11)</f>
        <v>1</v>
      </c>
      <c r="AC12" s="11">
        <f>SUBTOTAL(103,Janvier!$AC$7:$AC$11)</f>
        <v>1</v>
      </c>
      <c r="AD12" s="11">
        <f>SUBTOTAL(103,Janvier!$AD$7:$AD$11)</f>
        <v>0</v>
      </c>
      <c r="AE12" s="11">
        <f>SUBTOTAL(103,Janvier!$AE$7:$AE$11)</f>
        <v>1</v>
      </c>
      <c r="AF12" s="11">
        <f>SUBTOTAL(103,Janvier!$AF$7:$AF$11)</f>
        <v>0</v>
      </c>
      <c r="AG12" s="11">
        <f>SUBTOTAL(103,Janvier!$AG$7:$AG$11)</f>
        <v>1</v>
      </c>
      <c r="AH12" s="11">
        <f>SUBTOTAL(109,Janvier[Total des jours])</f>
        <v>25</v>
      </c>
    </row>
  </sheetData>
  <mergeCells count="6">
    <mergeCell ref="C4:AG4"/>
    <mergeCell ref="D2:E2"/>
    <mergeCell ref="G2:I2"/>
    <mergeCell ref="K2:L2"/>
    <mergeCell ref="N2:Q2"/>
    <mergeCell ref="S2:V2"/>
  </mergeCells>
  <conditionalFormatting sqref="C7:AG11">
    <cfRule type="expression" priority="1" stopIfTrue="1">
      <formula>C7=""</formula>
    </cfRule>
    <cfRule type="expression" dxfId="94" priority="6" stopIfTrue="1">
      <formula>C7=CléPersonnalisée2</formula>
    </cfRule>
    <cfRule type="expression" dxfId="93" priority="7" stopIfTrue="1">
      <formula>C7=CléPersonnalisée1</formula>
    </cfRule>
    <cfRule type="expression" dxfId="92" priority="8" stopIfTrue="1">
      <formula>C7=CléMaladie</formula>
    </cfRule>
    <cfRule type="expression" dxfId="91" priority="9" stopIfTrue="1">
      <formula>C7=CléPersonnel</formula>
    </cfRule>
    <cfRule type="expression" dxfId="90" priority="10" stopIfTrue="1">
      <formula>C7=CléCongé</formula>
    </cfRule>
  </conditionalFormatting>
  <conditionalFormatting sqref="AH7:AH11">
    <cfRule type="dataBar" priority="168">
      <dataBar>
        <cfvo type="num" val="0"/>
        <cfvo type="num" val="31"/>
        <color theme="2" tint="-0.249977111117893"/>
      </dataBar>
      <extLst>
        <ext xmlns:x14="http://schemas.microsoft.com/office/spreadsheetml/2009/9/main" uri="{B025F937-C7B1-47D3-B67F-A62EFF666E3E}">
          <x14:id>{ECCE2C3C-1B01-4700-B60E-DAAAB19A9C1A}</x14:id>
        </ext>
      </extLst>
    </cfRule>
  </conditionalFormatting>
  <dataValidations count="15">
    <dataValidation allowBlank="1" showInputMessage="1" showErrorMessage="1" prompt="Entrez l’année dans cette cellule." sqref="AH4" xr:uid="{00000000-0002-0000-0000-000000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000-000001000000}"/>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000-000002000000}"/>
    <dataValidation allowBlank="1" showInputMessage="1" showErrorMessage="1" prompt="Les jours de la semaine dans cette ligne sont mis à jour automatiquement pour le mois en fonction de l’année entrée dans AH4. Chaque jour du mois est une colonne dans laquelle noter l’absence et le motif d’absence d’un employé" sqref="C5" xr:uid="{00000000-0002-0000-0000-000003000000}"/>
    <dataValidation allowBlank="1" showInputMessage="1" showErrorMessage="1" prompt="Calcule automatiquement le nombre total de jours d’absence d’un employé durant ce mois" sqref="AH6" xr:uid="{00000000-0002-0000-0000-000004000000}"/>
    <dataValidation allowBlank="1" showInputMessage="1" showErrorMessage="1" prompt="Si vous mettez à jour le titre, le changement est automatiquement répercuté sur chaque feuille de calcul. Si vous mettez à jour le titre, le changement est automatiquement répercuté sur chaque feuille de calcul" sqref="B1" xr:uid="{00000000-0002-0000-0000-000005000000}"/>
    <dataValidation allowBlank="1" showInputMessage="1" showErrorMessage="1" prompt="Mois de ce calendrier des absences. Mettez à jour l’année dans la cellule AH4. Suivez les totaux mensuels dans la dernière cellule du tableau. Entrez les noms des employés dans la colonne B du tableau" sqref="B4" xr:uid="{00000000-0002-0000-0000-000006000000}"/>
    <dataValidation allowBlank="1" showInputMessage="1" showErrorMessage="1" prompt="Cette ligne définit les clés utilisées dans le tableau : Congé en C2, Personnel en F2 et Congé maladie en J2. Les cellules M2 et R2 sont personnalisables" sqref="B2" xr:uid="{00000000-0002-0000-0000-000007000000}"/>
    <dataValidation allowBlank="1" showInputMessage="1" showErrorMessage="1" prompt="La lettre « C » indique une absence pour cause de congé" sqref="C2" xr:uid="{00000000-0002-0000-0000-000008000000}"/>
    <dataValidation allowBlank="1" showInputMessage="1" showErrorMessage="1" prompt="La lettre « P » indique une absence pour motifs personnels" sqref="F2" xr:uid="{00000000-0002-0000-0000-000009000000}"/>
    <dataValidation allowBlank="1" showInputMessage="1" showErrorMessage="1" prompt="La lettre « M » indique une absence pour cause de maladie" sqref="J2" xr:uid="{00000000-0002-0000-0000-00000A000000}"/>
    <dataValidation allowBlank="1" showInputMessage="1" showErrorMessage="1" prompt="Entrez une lettre et personnalisez l’étiquette à droite pour ajouter un élément de clé" sqref="M2 R2" xr:uid="{00000000-0002-0000-0000-00000B000000}"/>
    <dataValidation allowBlank="1" showInputMessage="1" showErrorMessage="1" prompt="Entrez une étiquette pour décrire la clé personnalisée à gauche" sqref="N2 S2" xr:uid="{00000000-0002-0000-0000-00000C000000}"/>
    <dataValidation allowBlank="1" showInputMessage="1" showErrorMessage="1" prompt="Le Calendrier des absences des employés suit les absences exprimées en jours pour chaque mois. Il existe 13 feuilles de calcul, 12 mensuelles et la dernière pour les noms des employés. Suivez les absences du mois de janvier dans cette feuille de calcul" sqref="A1" xr:uid="{00000000-0002-0000-0000-00000D000000}"/>
    <dataValidation allowBlank="1" showInputMessage="1" showErrorMessage="1" prompt="Entrez l’année dans la cellule ci-dessous" sqref="AH3" xr:uid="{00000000-0002-0000-0000-00000E000000}"/>
  </dataValidations>
  <pageMargins left="0.7" right="0.7" top="0.75" bottom="0.75" header="0.3" footer="0.3"/>
  <pageSetup paperSize="9" fitToHeight="0"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ECCE2C3C-1B01-4700-B60E-DAAAB19A9C1A}">
            <x14:dataBar minLength="0" maxLength="100">
              <x14:cfvo type="num">
                <xm:f>0</xm:f>
              </x14:cfvo>
              <x14:cfvo type="num">
                <xm:f>31</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F000000}">
          <x14:formula1>
            <xm:f>'Noms des employés'!$B$4:$B$8</xm:f>
          </x14:formula1>
          <xm:sqref>B7:B11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749992370372631"/>
  </sheetPr>
  <dimension ref="B1:AH12"/>
  <sheetViews>
    <sheetView showGridLines="0" zoomScaleNormal="100" workbookViewId="0">
      <selection activeCell="C7" sqref="C7:AE11"/>
    </sheetView>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row r="4" spans="2:34" ht="30" customHeight="1" x14ac:dyDescent="0.35">
      <c r="B4" s="10" t="s">
        <v>51</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TEXT(WEEKDAY(DATE(AnnéeCalendrier,2,1),1),"jjj")</f>
        <v>jeu</v>
      </c>
      <c r="D5" s="2" t="str">
        <f>TEXT(WEEKDAY(DATE(AnnéeCalendrier,2,2),1),"jjj")</f>
        <v>ven</v>
      </c>
      <c r="E5" s="2" t="str">
        <f>TEXT(WEEKDAY(DATE(AnnéeCalendrier,2,3),1),"jjj")</f>
        <v>sam</v>
      </c>
      <c r="F5" s="2" t="str">
        <f>TEXT(WEEKDAY(DATE(AnnéeCalendrier,2,4),1),"jjj")</f>
        <v>dim</v>
      </c>
      <c r="G5" s="2" t="str">
        <f>TEXT(WEEKDAY(DATE(AnnéeCalendrier,2,5),1),"jjj")</f>
        <v>lun</v>
      </c>
      <c r="H5" s="2" t="str">
        <f>TEXT(WEEKDAY(DATE(AnnéeCalendrier,2,6),1),"jjj")</f>
        <v>mar</v>
      </c>
      <c r="I5" s="2" t="str">
        <f>TEXT(WEEKDAY(DATE(AnnéeCalendrier,2,7),1),"jjj")</f>
        <v>mer</v>
      </c>
      <c r="J5" s="2" t="str">
        <f>TEXT(WEEKDAY(DATE(AnnéeCalendrier,2,8),1),"jjj")</f>
        <v>jeu</v>
      </c>
      <c r="K5" s="2" t="str">
        <f>TEXT(WEEKDAY(DATE(AnnéeCalendrier,2,9),1),"jjj")</f>
        <v>ven</v>
      </c>
      <c r="L5" s="2" t="str">
        <f>TEXT(WEEKDAY(DATE(AnnéeCalendrier,2,10),1),"jjj")</f>
        <v>sam</v>
      </c>
      <c r="M5" s="2" t="str">
        <f>TEXT(WEEKDAY(DATE(AnnéeCalendrier,2,11),1),"jjj")</f>
        <v>dim</v>
      </c>
      <c r="N5" s="2" t="str">
        <f>TEXT(WEEKDAY(DATE(AnnéeCalendrier,2,12),1),"jjj")</f>
        <v>lun</v>
      </c>
      <c r="O5" s="2" t="str">
        <f>TEXT(WEEKDAY(DATE(AnnéeCalendrier,2,13),1),"jjj")</f>
        <v>mar</v>
      </c>
      <c r="P5" s="2" t="str">
        <f>TEXT(WEEKDAY(DATE(AnnéeCalendrier,2,14),1),"jjj")</f>
        <v>mer</v>
      </c>
      <c r="Q5" s="2" t="str">
        <f>TEXT(WEEKDAY(DATE(AnnéeCalendrier,2,15),1),"jjj")</f>
        <v>jeu</v>
      </c>
      <c r="R5" s="2" t="str">
        <f>TEXT(WEEKDAY(DATE(AnnéeCalendrier,2,16),1),"jjj")</f>
        <v>ven</v>
      </c>
      <c r="S5" s="2" t="str">
        <f>TEXT(WEEKDAY(DATE(AnnéeCalendrier,2,17),1),"jjj")</f>
        <v>sam</v>
      </c>
      <c r="T5" s="2" t="str">
        <f>TEXT(WEEKDAY(DATE(AnnéeCalendrier,2,18),1),"jjj")</f>
        <v>dim</v>
      </c>
      <c r="U5" s="2" t="str">
        <f>TEXT(WEEKDAY(DATE(AnnéeCalendrier,2,19),1),"jjj")</f>
        <v>lun</v>
      </c>
      <c r="V5" s="2" t="str">
        <f>TEXT(WEEKDAY(DATE(AnnéeCalendrier,2,20),1),"jjj")</f>
        <v>mar</v>
      </c>
      <c r="W5" s="2" t="str">
        <f>TEXT(WEEKDAY(DATE(AnnéeCalendrier,2,21),1),"jjj")</f>
        <v>mer</v>
      </c>
      <c r="X5" s="2" t="str">
        <f>TEXT(WEEKDAY(DATE(AnnéeCalendrier,2,22),1),"jjj")</f>
        <v>jeu</v>
      </c>
      <c r="Y5" s="2" t="str">
        <f>TEXT(WEEKDAY(DATE(AnnéeCalendrier,2,23),1),"jjj")</f>
        <v>ven</v>
      </c>
      <c r="Z5" s="2" t="str">
        <f>TEXT(WEEKDAY(DATE(AnnéeCalendrier,2,24),1),"jjj")</f>
        <v>sam</v>
      </c>
      <c r="AA5" s="2" t="str">
        <f>TEXT(WEEKDAY(DATE(AnnéeCalendrier,2,25),1),"jjj")</f>
        <v>dim</v>
      </c>
      <c r="AB5" s="2" t="str">
        <f>TEXT(WEEKDAY(DATE(AnnéeCalendrier,2,26),1),"jjj")</f>
        <v>lun</v>
      </c>
      <c r="AC5" s="2" t="str">
        <f>TEXT(WEEKDAY(DATE(AnnéeCalendrier,2,27),1),"jjj")</f>
        <v>mar</v>
      </c>
      <c r="AD5" s="2" t="str">
        <f>TEXT(WEEKDAY(DATE(AnnéeCalendrier,2,28),1),"jjj")</f>
        <v>mer</v>
      </c>
      <c r="AE5" s="2" t="str">
        <f>TEXT(WEEKDAY(DATE(AnnéeCalendrier,2,29),1),"jjj")</f>
        <v>jeu</v>
      </c>
      <c r="AF5" s="2"/>
      <c r="AG5" s="2"/>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52</v>
      </c>
      <c r="AG6" s="2" t="s">
        <v>53</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COUNTA(Février[[#This Row],[1]:[29]])</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COUNTA(Février[[#This Row],[1]:[29]])</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COUNTA(Février[[#This Row],[1]:[29]])</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COUNTA(Février[[#This Row],[1]:[29]])</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COUNTA(Février[[#This Row],[1]:[29]])</f>
        <v>0</v>
      </c>
    </row>
    <row r="12" spans="2:34" ht="30" customHeight="1" x14ac:dyDescent="0.35">
      <c r="B12" s="18" t="str">
        <f>NomMois&amp;" Total"</f>
        <v>Février Total</v>
      </c>
      <c r="C12" s="11">
        <f>SUBTOTAL(103,Février[1])</f>
        <v>0</v>
      </c>
      <c r="D12" s="11">
        <f>SUBTOTAL(103,Février[2])</f>
        <v>0</v>
      </c>
      <c r="E12" s="11">
        <f>SUBTOTAL(103,Février[3])</f>
        <v>0</v>
      </c>
      <c r="F12" s="11">
        <f>SUBTOTAL(103,Février[4])</f>
        <v>0</v>
      </c>
      <c r="G12" s="11">
        <f>SUBTOTAL(103,Février[5])</f>
        <v>0</v>
      </c>
      <c r="H12" s="11">
        <f>SUBTOTAL(103,Février[6])</f>
        <v>0</v>
      </c>
      <c r="I12" s="11">
        <f>SUBTOTAL(103,Février[7])</f>
        <v>0</v>
      </c>
      <c r="J12" s="11">
        <f>SUBTOTAL(103,Février[8])</f>
        <v>0</v>
      </c>
      <c r="K12" s="11">
        <f>SUBTOTAL(103,Février[9])</f>
        <v>0</v>
      </c>
      <c r="L12" s="11">
        <f>SUBTOTAL(103,Février[10])</f>
        <v>0</v>
      </c>
      <c r="M12" s="11">
        <f>SUBTOTAL(103,Février[11])</f>
        <v>0</v>
      </c>
      <c r="N12" s="11">
        <f>SUBTOTAL(103,Février[12])</f>
        <v>0</v>
      </c>
      <c r="O12" s="11">
        <f>SUBTOTAL(103,Février[13])</f>
        <v>0</v>
      </c>
      <c r="P12" s="11">
        <f>SUBTOTAL(103,Février[14])</f>
        <v>0</v>
      </c>
      <c r="Q12" s="11">
        <f>SUBTOTAL(103,Février[15])</f>
        <v>0</v>
      </c>
      <c r="R12" s="11">
        <f>SUBTOTAL(103,Février[16])</f>
        <v>0</v>
      </c>
      <c r="S12" s="11">
        <f>SUBTOTAL(103,Février[17])</f>
        <v>0</v>
      </c>
      <c r="T12" s="11">
        <f>SUBTOTAL(103,Février[18])</f>
        <v>0</v>
      </c>
      <c r="U12" s="11">
        <f>SUBTOTAL(103,Février[19])</f>
        <v>0</v>
      </c>
      <c r="V12" s="11">
        <f>SUBTOTAL(103,Février[20])</f>
        <v>0</v>
      </c>
      <c r="W12" s="11">
        <f>SUBTOTAL(103,Février[21])</f>
        <v>0</v>
      </c>
      <c r="X12" s="11">
        <f>SUBTOTAL(103,Février[22])</f>
        <v>0</v>
      </c>
      <c r="Y12" s="11">
        <f>SUBTOTAL(103,Février[23])</f>
        <v>0</v>
      </c>
      <c r="Z12" s="11">
        <f>SUBTOTAL(103,Février[24])</f>
        <v>0</v>
      </c>
      <c r="AA12" s="11">
        <f>SUBTOTAL(103,Février[25])</f>
        <v>0</v>
      </c>
      <c r="AB12" s="11">
        <f>SUBTOTAL(103,Février[26])</f>
        <v>0</v>
      </c>
      <c r="AC12" s="11">
        <f>SUBTOTAL(103,Février[27])</f>
        <v>0</v>
      </c>
      <c r="AD12" s="11">
        <f>SUBTOTAL(103,Février[28])</f>
        <v>0</v>
      </c>
      <c r="AE12" s="11">
        <f>SUBTOTAL(103,Février[29])</f>
        <v>0</v>
      </c>
      <c r="AF12" s="11"/>
      <c r="AG12" s="11"/>
      <c r="AH12" s="11">
        <f>SUBTOTAL(109,Février[Total des jours])</f>
        <v>0</v>
      </c>
    </row>
  </sheetData>
  <mergeCells count="6">
    <mergeCell ref="C4:AG4"/>
    <mergeCell ref="D2:E2"/>
    <mergeCell ref="G2:I2"/>
    <mergeCell ref="K2:L2"/>
    <mergeCell ref="N2:Q2"/>
    <mergeCell ref="S2:V2"/>
  </mergeCells>
  <conditionalFormatting sqref="C7:AG11">
    <cfRule type="expression" priority="2" stopIfTrue="1">
      <formula>C7=""</formula>
    </cfRule>
    <cfRule type="expression" dxfId="89" priority="3" stopIfTrue="1">
      <formula>C7=CléPersonnalisée2</formula>
    </cfRule>
    <cfRule type="expression" dxfId="88" priority="5" stopIfTrue="1">
      <formula>C7=CléPersonnalisée1</formula>
    </cfRule>
    <cfRule type="expression" dxfId="87" priority="6" stopIfTrue="1">
      <formula>C7=CléMaladie</formula>
    </cfRule>
    <cfRule type="expression" dxfId="86" priority="7" stopIfTrue="1">
      <formula>C7=CléPersonnel</formula>
    </cfRule>
    <cfRule type="expression" dxfId="85" priority="8" stopIfTrue="1">
      <formula>C7=CléCongé</formula>
    </cfRule>
  </conditionalFormatting>
  <conditionalFormatting sqref="AE5">
    <cfRule type="expression" dxfId="84" priority="15">
      <formula>MONTH(DATE(AnnéeCalendrier,2,29))&lt;&gt;2</formula>
    </cfRule>
  </conditionalFormatting>
  <conditionalFormatting sqref="AE6">
    <cfRule type="expression" dxfId="83" priority="16">
      <formula>MONTH(DATE(AnnéeCalendrier,2,29))&lt;&gt;2</formula>
    </cfRule>
  </conditionalFormatting>
  <conditionalFormatting sqref="AH7:AH11">
    <cfRule type="dataBar" priority="153">
      <dataBar>
        <cfvo type="min"/>
        <cfvo type="formula" val="DATEDIF(DATE(AnnéeCalendrier,2,1),DATE(AnnéeCalendrier,3,1),&quot;d&quot;)"/>
        <color theme="2" tint="-0.249977111117893"/>
      </dataBar>
      <extLst>
        <ext xmlns:x14="http://schemas.microsoft.com/office/spreadsheetml/2009/9/main" uri="{B025F937-C7B1-47D3-B67F-A62EFF666E3E}">
          <x14:id>{94738C71-AB78-40C3-A818-D083AE35CC38}</x14:id>
        </ext>
      </extLst>
    </cfRule>
  </conditionalFormatting>
  <dataValidations xWindow="232" yWindow="365" count="14">
    <dataValidation allowBlank="1" showInputMessage="1" showErrorMessage="1" prompt="Année mise à jour automatiquement en fonction de l’année entrée dans la feuille de calcul Janvier" sqref="AH4" xr:uid="{00000000-0002-0000-0100-000000000000}"/>
    <dataValidation allowBlank="1" showInputMessage="1" showErrorMessage="1" prompt="Suivez les absences du mois de février dans cette feuille de calcul" sqref="A1" xr:uid="{00000000-0002-0000-0100-000001000000}"/>
    <dataValidation allowBlank="1" showInputMessage="1" showErrorMessage="1" prompt="Calcule automatiquement le nombre total de jours d’absence d’un employé durant ce mois dans cette colonne" sqref="AH6" xr:uid="{00000000-0002-0000-0100-000002000000}"/>
    <dataValidation allowBlank="1" showInputMessage="1" showErrorMessage="1" prompt="Le titre mis à jour automatiquement figure dans cette cellule. Pour modifier le titre, mettez à jour la cellule B1 de la feuille de calcul Janvier" sqref="B1" xr:uid="{00000000-0002-0000-0100-000003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100-000004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100-000005000000}"/>
    <dataValidation allowBlank="1" showInputMessage="1" showErrorMessage="1" prompt="Cette ligne définit les clés utilisées dans le tableau : Congé en C2, Personnel en F2 et Congé maladie en J2. Les cellules M2 et R2 sont personnalisables" sqref="B2" xr:uid="{00000000-0002-0000-0100-000006000000}"/>
    <dataValidation allowBlank="1" showInputMessage="1" showErrorMessage="1" prompt="Entrez une étiquette pour décrire la clé personnalisée à gauche" sqref="N2 S2" xr:uid="{00000000-0002-0000-0100-000007000000}"/>
    <dataValidation allowBlank="1" showInputMessage="1" showErrorMessage="1" prompt="Entrez une lettre et personnalisez l’étiquette à droite pour ajouter un élément de clé" sqref="M2 R2" xr:uid="{00000000-0002-0000-0100-000008000000}"/>
    <dataValidation allowBlank="1" showInputMessage="1" showErrorMessage="1" prompt="La lettre « M » indique une absence pour cause de maladie" sqref="J2" xr:uid="{00000000-0002-0000-0100-000009000000}"/>
    <dataValidation allowBlank="1" showInputMessage="1" showErrorMessage="1" prompt="La lettre « P » indique une absence pour motifs personnels" sqref="F2" xr:uid="{00000000-0002-0000-0100-00000A000000}"/>
    <dataValidation allowBlank="1" showInputMessage="1" showErrorMessage="1" prompt="La lettre « C » indique une absence pour cause de congé" sqref="C2" xr:uid="{00000000-0002-0000-0100-00000B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100-00000C000000}"/>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1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94738C71-AB78-40C3-A818-D083AE35CC38}">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xWindow="232" yWindow="365" count="1">
        <x14:dataValidation type="list" allowBlank="1" showInputMessage="1" showErrorMessage="1" xr:uid="{00000000-0002-0000-0100-00000E000000}">
          <x14:formula1>
            <xm:f>'Noms des employés'!$B$4:$B$8</xm:f>
          </x14:formula1>
          <xm:sqref>B7:B11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499984740745262"/>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54</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TEXT(WEEKDAY(DATE(AnnéeCalendrier,3,1),1),"jjj")</f>
        <v>ven</v>
      </c>
      <c r="D5" s="2" t="str">
        <f>TEXT(WEEKDAY(DATE(AnnéeCalendrier,3,2),1),"jjj")</f>
        <v>sam</v>
      </c>
      <c r="E5" s="2" t="str">
        <f>TEXT(WEEKDAY(DATE(AnnéeCalendrier,3,3),1),"jjj")</f>
        <v>dim</v>
      </c>
      <c r="F5" s="2" t="str">
        <f>TEXT(WEEKDAY(DATE(AnnéeCalendrier,3,4),1),"jjj")</f>
        <v>lun</v>
      </c>
      <c r="G5" s="2" t="str">
        <f>TEXT(WEEKDAY(DATE(AnnéeCalendrier,3,5),1),"jjj")</f>
        <v>mar</v>
      </c>
      <c r="H5" s="2" t="str">
        <f>TEXT(WEEKDAY(DATE(AnnéeCalendrier,3,6),1),"jjj")</f>
        <v>mer</v>
      </c>
      <c r="I5" s="2" t="str">
        <f>TEXT(WEEKDAY(DATE(AnnéeCalendrier,3,7),1),"jjj")</f>
        <v>jeu</v>
      </c>
      <c r="J5" s="2" t="str">
        <f>TEXT(WEEKDAY(DATE(AnnéeCalendrier,3,8),1),"jjj")</f>
        <v>ven</v>
      </c>
      <c r="K5" s="2" t="str">
        <f>TEXT(WEEKDAY(DATE(AnnéeCalendrier,3,9),1),"jjj")</f>
        <v>sam</v>
      </c>
      <c r="L5" s="2" t="str">
        <f>TEXT(WEEKDAY(DATE(AnnéeCalendrier,3,10),1),"jjj")</f>
        <v>dim</v>
      </c>
      <c r="M5" s="2" t="str">
        <f>TEXT(WEEKDAY(DATE(AnnéeCalendrier,3,11),1),"jjj")</f>
        <v>lun</v>
      </c>
      <c r="N5" s="2" t="str">
        <f>TEXT(WEEKDAY(DATE(AnnéeCalendrier,3,12),1),"jjj")</f>
        <v>mar</v>
      </c>
      <c r="O5" s="2" t="str">
        <f>TEXT(WEEKDAY(DATE(AnnéeCalendrier,3,13),1),"jjj")</f>
        <v>mer</v>
      </c>
      <c r="P5" s="2" t="str">
        <f>TEXT(WEEKDAY(DATE(AnnéeCalendrier,3,14),1),"jjj")</f>
        <v>jeu</v>
      </c>
      <c r="Q5" s="2" t="str">
        <f>TEXT(WEEKDAY(DATE(AnnéeCalendrier,3,15),1),"jjj")</f>
        <v>ven</v>
      </c>
      <c r="R5" s="2" t="str">
        <f>TEXT(WEEKDAY(DATE(AnnéeCalendrier,3,16),1),"jjj")</f>
        <v>sam</v>
      </c>
      <c r="S5" s="2" t="str">
        <f>TEXT(WEEKDAY(DATE(AnnéeCalendrier,3,17),1),"jjj")</f>
        <v>dim</v>
      </c>
      <c r="T5" s="2" t="str">
        <f>TEXT(WEEKDAY(DATE(AnnéeCalendrier,3,18),1),"jjj")</f>
        <v>lun</v>
      </c>
      <c r="U5" s="2" t="str">
        <f>TEXT(WEEKDAY(DATE(AnnéeCalendrier,3,19),1),"jjj")</f>
        <v>mar</v>
      </c>
      <c r="V5" s="2" t="str">
        <f>TEXT(WEEKDAY(DATE(AnnéeCalendrier,3,20),1),"jjj")</f>
        <v>mer</v>
      </c>
      <c r="W5" s="2" t="str">
        <f>TEXT(WEEKDAY(DATE(AnnéeCalendrier,3,21),1),"jjj")</f>
        <v>jeu</v>
      </c>
      <c r="X5" s="2" t="str">
        <f>TEXT(WEEKDAY(DATE(AnnéeCalendrier,3,22),1),"jjj")</f>
        <v>ven</v>
      </c>
      <c r="Y5" s="2" t="str">
        <f>TEXT(WEEKDAY(DATE(AnnéeCalendrier,3,23),1),"jjj")</f>
        <v>sam</v>
      </c>
      <c r="Z5" s="2" t="str">
        <f>TEXT(WEEKDAY(DATE(AnnéeCalendrier,3,24),1),"jjj")</f>
        <v>dim</v>
      </c>
      <c r="AA5" s="2" t="str">
        <f>TEXT(WEEKDAY(DATE(AnnéeCalendrier,3,25),1),"jjj")</f>
        <v>lun</v>
      </c>
      <c r="AB5" s="2" t="str">
        <f>TEXT(WEEKDAY(DATE(AnnéeCalendrier,3,26),1),"jjj")</f>
        <v>mar</v>
      </c>
      <c r="AC5" s="2" t="str">
        <f>TEXT(WEEKDAY(DATE(AnnéeCalendrier,3,27),1),"jjj")</f>
        <v>mer</v>
      </c>
      <c r="AD5" s="2" t="str">
        <f>TEXT(WEEKDAY(DATE(AnnéeCalendrier,3,28),1),"jjj")</f>
        <v>jeu</v>
      </c>
      <c r="AE5" s="2" t="str">
        <f>TEXT(WEEKDAY(DATE(AnnéeCalendrier,3,29),1),"jjj")</f>
        <v>ven</v>
      </c>
      <c r="AF5" s="2" t="str">
        <f>TEXT(WEEKDAY(DATE(AnnéeCalendrier,3,30),1),"jjj")</f>
        <v>sam</v>
      </c>
      <c r="AG5" s="2" t="str">
        <f>TEXT(WEEKDAY(DATE(AnnéeCalendrier,3,31),1),"jjj")</f>
        <v>dim</v>
      </c>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48</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COUNTA(Mars[[#This Row],[1]:[31]])</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COUNTA(Mars[[#This Row],[1]:[31]])</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COUNTA(Mars[[#This Row],[1]:[31]])</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COUNTA(Mars[[#This Row],[1]:[31]])</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COUNTA(Mars[[#This Row],[1]:[31]])</f>
        <v>0</v>
      </c>
    </row>
    <row r="12" spans="2:34" ht="30" customHeight="1" x14ac:dyDescent="0.35">
      <c r="B12" s="18" t="str">
        <f>NomMois&amp;" Total"</f>
        <v>Mars Total</v>
      </c>
      <c r="C12" s="11">
        <f>SUBTOTAL(103,Mars[1])</f>
        <v>0</v>
      </c>
      <c r="D12" s="11">
        <f>SUBTOTAL(103,Mars[2])</f>
        <v>0</v>
      </c>
      <c r="E12" s="11">
        <f>SUBTOTAL(103,Mars[3])</f>
        <v>0</v>
      </c>
      <c r="F12" s="11">
        <f>SUBTOTAL(103,Mars[4])</f>
        <v>0</v>
      </c>
      <c r="G12" s="11">
        <f>SUBTOTAL(103,Mars[5])</f>
        <v>0</v>
      </c>
      <c r="H12" s="11">
        <f>SUBTOTAL(103,Mars[6])</f>
        <v>0</v>
      </c>
      <c r="I12" s="11">
        <f>SUBTOTAL(103,Mars[7])</f>
        <v>0</v>
      </c>
      <c r="J12" s="11">
        <f>SUBTOTAL(103,Mars[8])</f>
        <v>0</v>
      </c>
      <c r="K12" s="11">
        <f>SUBTOTAL(103,Mars[9])</f>
        <v>0</v>
      </c>
      <c r="L12" s="11">
        <f>SUBTOTAL(103,Mars[10])</f>
        <v>0</v>
      </c>
      <c r="M12" s="11">
        <f>SUBTOTAL(103,Mars[11])</f>
        <v>0</v>
      </c>
      <c r="N12" s="11">
        <f>SUBTOTAL(103,Mars[12])</f>
        <v>0</v>
      </c>
      <c r="O12" s="11">
        <f>SUBTOTAL(103,Mars[13])</f>
        <v>0</v>
      </c>
      <c r="P12" s="11">
        <f>SUBTOTAL(103,Mars[14])</f>
        <v>0</v>
      </c>
      <c r="Q12" s="11">
        <f>SUBTOTAL(103,Mars[15])</f>
        <v>0</v>
      </c>
      <c r="R12" s="11">
        <f>SUBTOTAL(103,Mars[16])</f>
        <v>0</v>
      </c>
      <c r="S12" s="11">
        <f>SUBTOTAL(103,Mars[17])</f>
        <v>0</v>
      </c>
      <c r="T12" s="11">
        <f>SUBTOTAL(103,Mars[18])</f>
        <v>0</v>
      </c>
      <c r="U12" s="11">
        <f>SUBTOTAL(103,Mars[19])</f>
        <v>0</v>
      </c>
      <c r="V12" s="11">
        <f>SUBTOTAL(103,Mars[20])</f>
        <v>0</v>
      </c>
      <c r="W12" s="11">
        <f>SUBTOTAL(103,Mars[21])</f>
        <v>0</v>
      </c>
      <c r="X12" s="11">
        <f>SUBTOTAL(103,Mars[22])</f>
        <v>0</v>
      </c>
      <c r="Y12" s="11">
        <f>SUBTOTAL(103,Mars[23])</f>
        <v>0</v>
      </c>
      <c r="Z12" s="11">
        <f>SUBTOTAL(103,Mars[24])</f>
        <v>0</v>
      </c>
      <c r="AA12" s="11">
        <f>SUBTOTAL(103,Mars[25])</f>
        <v>0</v>
      </c>
      <c r="AB12" s="11">
        <f>SUBTOTAL(103,Mars[26])</f>
        <v>0</v>
      </c>
      <c r="AC12" s="11">
        <f>SUBTOTAL(103,Mars[27])</f>
        <v>0</v>
      </c>
      <c r="AD12" s="11">
        <f>SUBTOTAL(103,Mars[28])</f>
        <v>0</v>
      </c>
      <c r="AE12" s="11">
        <f>SUBTOTAL(103,Mars[29])</f>
        <v>0</v>
      </c>
      <c r="AF12" s="11">
        <f>SUBTOTAL(103,Mars[30])</f>
        <v>0</v>
      </c>
      <c r="AG12" s="11">
        <f>SUBTOTAL(103,Mars[31])</f>
        <v>0</v>
      </c>
      <c r="AH12" s="11">
        <f>SUBTOTAL(109,Mars[Total des jours])</f>
        <v>0</v>
      </c>
    </row>
  </sheetData>
  <mergeCells count="6">
    <mergeCell ref="C4:AG4"/>
    <mergeCell ref="D2:E2"/>
    <mergeCell ref="G2:I2"/>
    <mergeCell ref="K2:L2"/>
    <mergeCell ref="N2:Q2"/>
    <mergeCell ref="S2:V2"/>
  </mergeCells>
  <conditionalFormatting sqref="C7:AG11">
    <cfRule type="expression" priority="1" stopIfTrue="1">
      <formula>C7=""</formula>
    </cfRule>
    <cfRule type="expression" dxfId="82" priority="2" stopIfTrue="1">
      <formula>C7=CléPersonnalisée2</formula>
    </cfRule>
    <cfRule type="expression" dxfId="81" priority="3" stopIfTrue="1">
      <formula>C7=CléPersonnalisée1</formula>
    </cfRule>
    <cfRule type="expression" dxfId="80" priority="4" stopIfTrue="1">
      <formula>C7=CléMaladie</formula>
    </cfRule>
    <cfRule type="expression" dxfId="79" priority="5" stopIfTrue="1">
      <formula>C7=CléPersonnel</formula>
    </cfRule>
    <cfRule type="expression" dxfId="78"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{7C2B6C3E-666E-4369-8C57-FD32A7D03A3C}</x14:id>
        </ext>
      </extLst>
    </cfRule>
  </conditionalFormatting>
  <dataValidations count="14">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200-000000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200-000001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200-000002000000}"/>
    <dataValidation allowBlank="1" showInputMessage="1" showErrorMessage="1" prompt="Cette ligne définit les clés utilisées dans le tableau : Congé en C2, Personnel en F2 et Congé maladie en J2. Les cellules M2 et R2 sont personnalisables" sqref="B2" xr:uid="{00000000-0002-0000-0200-000003000000}"/>
    <dataValidation allowBlank="1" showInputMessage="1" showErrorMessage="1" prompt="Entrez une étiquette pour décrire la clé personnalisée à gauche" sqref="N2 S2" xr:uid="{00000000-0002-0000-0200-000004000000}"/>
    <dataValidation allowBlank="1" showInputMessage="1" showErrorMessage="1" prompt="Entrez une lettre et personnalisez l’étiquette à droite pour ajouter un élément de clé" sqref="M2 R2" xr:uid="{00000000-0002-0000-0200-000005000000}"/>
    <dataValidation allowBlank="1" showInputMessage="1" showErrorMessage="1" prompt="La lettre « M » indique une absence pour cause de maladie" sqref="J2" xr:uid="{00000000-0002-0000-0200-000006000000}"/>
    <dataValidation allowBlank="1" showInputMessage="1" showErrorMessage="1" prompt="La lettre « P » indique une absence pour motifs personnels" sqref="F2" xr:uid="{00000000-0002-0000-0200-000007000000}"/>
    <dataValidation allowBlank="1" showInputMessage="1" showErrorMessage="1" prompt="La lettre « C » indique une absence pour cause de congé" sqref="C2" xr:uid="{00000000-0002-0000-0200-000008000000}"/>
    <dataValidation allowBlank="1" showInputMessage="1" showErrorMessage="1" prompt="Le titre mis à jour automatiquement figure dans cette cellule. Pour modifier le titre, mettez à jour la cellule B1 de la feuille de calcul Janvier" sqref="B1" xr:uid="{00000000-0002-0000-0200-000009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200-00000A000000}"/>
    <dataValidation allowBlank="1" showInputMessage="1" showErrorMessage="1" prompt="Suivez les absences du mois de mars dans cette feuille de calcul" sqref="A1" xr:uid="{00000000-0002-0000-0200-00000B000000}"/>
    <dataValidation allowBlank="1" showInputMessage="1" showErrorMessage="1" prompt="Calcule automatiquement le nombre total de jours d’absence d’un employé durant ce mois dans cette colonne" sqref="AH6" xr:uid="{00000000-0002-0000-0200-00000C000000}"/>
    <dataValidation allowBlank="1" showInputMessage="1" showErrorMessage="1" prompt="Année mise à jour automatiquement en fonction de l’année entrée dans la feuille de calcul Janvier" sqref="AH4" xr:uid="{00000000-0002-0000-02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7C2B6C3E-666E-4369-8C57-FD32A7D03A3C}">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E000000}">
          <x14:formula1>
            <xm:f>'Noms des employés'!$B$4:$B$8</xm:f>
          </x14:formula1>
          <xm:sqref>B7:B11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0.249977111117893"/>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55</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TEXT(WEEKDAY(DATE(AnnéeCalendrier,4,1),1),"jjj")</f>
        <v>lun</v>
      </c>
      <c r="D5" s="2" t="str">
        <f>TEXT(WEEKDAY(DATE(AnnéeCalendrier,4,2),1),"jjj")</f>
        <v>mar</v>
      </c>
      <c r="E5" s="2" t="str">
        <f>TEXT(WEEKDAY(DATE(AnnéeCalendrier,4,3),1),"jjj")</f>
        <v>mer</v>
      </c>
      <c r="F5" s="2" t="str">
        <f>TEXT(WEEKDAY(DATE(AnnéeCalendrier,4,4),1),"jjj")</f>
        <v>jeu</v>
      </c>
      <c r="G5" s="2" t="str">
        <f>TEXT(WEEKDAY(DATE(AnnéeCalendrier,4,5),1),"jjj")</f>
        <v>ven</v>
      </c>
      <c r="H5" s="2" t="str">
        <f>TEXT(WEEKDAY(DATE(AnnéeCalendrier,4,6),1),"jjj")</f>
        <v>sam</v>
      </c>
      <c r="I5" s="2" t="str">
        <f>TEXT(WEEKDAY(DATE(AnnéeCalendrier,4,7),1),"jjj")</f>
        <v>dim</v>
      </c>
      <c r="J5" s="2" t="str">
        <f>TEXT(WEEKDAY(DATE(AnnéeCalendrier,4,8),1),"jjj")</f>
        <v>lun</v>
      </c>
      <c r="K5" s="2" t="str">
        <f>TEXT(WEEKDAY(DATE(AnnéeCalendrier,4,9),1),"jjj")</f>
        <v>mar</v>
      </c>
      <c r="L5" s="2" t="str">
        <f>TEXT(WEEKDAY(DATE(AnnéeCalendrier,4,10),1),"jjj")</f>
        <v>mer</v>
      </c>
      <c r="M5" s="2" t="str">
        <f>TEXT(WEEKDAY(DATE(AnnéeCalendrier,4,11),1),"jjj")</f>
        <v>jeu</v>
      </c>
      <c r="N5" s="2" t="str">
        <f>TEXT(WEEKDAY(DATE(AnnéeCalendrier,4,12),1),"jjj")</f>
        <v>ven</v>
      </c>
      <c r="O5" s="2" t="str">
        <f>TEXT(WEEKDAY(DATE(AnnéeCalendrier,4,13),1),"jjj")</f>
        <v>sam</v>
      </c>
      <c r="P5" s="2" t="str">
        <f>TEXT(WEEKDAY(DATE(AnnéeCalendrier,4,14),1),"jjj")</f>
        <v>dim</v>
      </c>
      <c r="Q5" s="2" t="str">
        <f>TEXT(WEEKDAY(DATE(AnnéeCalendrier,4,15),1),"jjj")</f>
        <v>lun</v>
      </c>
      <c r="R5" s="2" t="str">
        <f>TEXT(WEEKDAY(DATE(AnnéeCalendrier,4,16),1),"jjj")</f>
        <v>mar</v>
      </c>
      <c r="S5" s="2" t="str">
        <f>TEXT(WEEKDAY(DATE(AnnéeCalendrier,4,17),1),"jjj")</f>
        <v>mer</v>
      </c>
      <c r="T5" s="2" t="str">
        <f>TEXT(WEEKDAY(DATE(AnnéeCalendrier,4,18),1),"jjj")</f>
        <v>jeu</v>
      </c>
      <c r="U5" s="2" t="str">
        <f>TEXT(WEEKDAY(DATE(AnnéeCalendrier,4,19),1),"jjj")</f>
        <v>ven</v>
      </c>
      <c r="V5" s="2" t="str">
        <f>TEXT(WEEKDAY(DATE(AnnéeCalendrier,4,20),1),"jjj")</f>
        <v>sam</v>
      </c>
      <c r="W5" s="2" t="str">
        <f>TEXT(WEEKDAY(DATE(AnnéeCalendrier,4,21),1),"jjj")</f>
        <v>dim</v>
      </c>
      <c r="X5" s="2" t="str">
        <f>TEXT(WEEKDAY(DATE(AnnéeCalendrier,4,22),1),"jjj")</f>
        <v>lun</v>
      </c>
      <c r="Y5" s="2" t="str">
        <f>TEXT(WEEKDAY(DATE(AnnéeCalendrier,4,23),1),"jjj")</f>
        <v>mar</v>
      </c>
      <c r="Z5" s="2" t="str">
        <f>TEXT(WEEKDAY(DATE(AnnéeCalendrier,4,24),1),"jjj")</f>
        <v>mer</v>
      </c>
      <c r="AA5" s="2" t="str">
        <f>TEXT(WEEKDAY(DATE(AnnéeCalendrier,4,25),1),"jjj")</f>
        <v>jeu</v>
      </c>
      <c r="AB5" s="2" t="str">
        <f>TEXT(WEEKDAY(DATE(AnnéeCalendrier,4,26),1),"jjj")</f>
        <v>ven</v>
      </c>
      <c r="AC5" s="2" t="str">
        <f>TEXT(WEEKDAY(DATE(AnnéeCalendrier,4,27),1),"jjj")</f>
        <v>sam</v>
      </c>
      <c r="AD5" s="2" t="str">
        <f>TEXT(WEEKDAY(DATE(AnnéeCalendrier,4,28),1),"jjj")</f>
        <v>dim</v>
      </c>
      <c r="AE5" s="2" t="str">
        <f>TEXT(WEEKDAY(DATE(AnnéeCalendrier,4,29),1),"jjj")</f>
        <v>lun</v>
      </c>
      <c r="AF5" s="2" t="str">
        <f>TEXT(WEEKDAY(DATE(AnnéeCalendrier,4,30),1),"jjj")</f>
        <v>mar</v>
      </c>
      <c r="AG5" s="2"/>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0" t="s">
        <v>52</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COUNTA(Avril[[#This Row],[1]:[30]])</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COUNTA(Avril[[#This Row],[1]:[30]])</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COUNTA(Avril[[#This Row],[1]:[30]])</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COUNTA(Avril[[#This Row],[1]:[30]])</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COUNTA(Avril[[#This Row],[1]:[30]])</f>
        <v>0</v>
      </c>
    </row>
    <row r="12" spans="2:34" ht="30" customHeight="1" x14ac:dyDescent="0.35">
      <c r="B12" s="18" t="str">
        <f>NomMois&amp;" Total"</f>
        <v>Avril Total</v>
      </c>
      <c r="C12" s="11">
        <f>SUBTOTAL(103,Avril[1])</f>
        <v>0</v>
      </c>
      <c r="D12" s="11">
        <f>SUBTOTAL(103,Avril[2])</f>
        <v>0</v>
      </c>
      <c r="E12" s="11">
        <f>SUBTOTAL(103,Avril[3])</f>
        <v>0</v>
      </c>
      <c r="F12" s="11">
        <f>SUBTOTAL(103,Avril[4])</f>
        <v>0</v>
      </c>
      <c r="G12" s="11">
        <f>SUBTOTAL(103,Avril[5])</f>
        <v>0</v>
      </c>
      <c r="H12" s="11">
        <f>SUBTOTAL(103,Avril[6])</f>
        <v>0</v>
      </c>
      <c r="I12" s="11">
        <f>SUBTOTAL(103,Avril[7])</f>
        <v>0</v>
      </c>
      <c r="J12" s="11">
        <f>SUBTOTAL(103,Avril[8])</f>
        <v>0</v>
      </c>
      <c r="K12" s="11">
        <f>SUBTOTAL(103,Avril[9])</f>
        <v>0</v>
      </c>
      <c r="L12" s="11">
        <f>SUBTOTAL(103,Avril[10])</f>
        <v>0</v>
      </c>
      <c r="M12" s="11">
        <f>SUBTOTAL(103,Avril[11])</f>
        <v>0</v>
      </c>
      <c r="N12" s="11">
        <f>SUBTOTAL(103,Avril[12])</f>
        <v>0</v>
      </c>
      <c r="O12" s="11">
        <f>SUBTOTAL(103,Avril[13])</f>
        <v>0</v>
      </c>
      <c r="P12" s="11">
        <f>SUBTOTAL(103,Avril[14])</f>
        <v>0</v>
      </c>
      <c r="Q12" s="11">
        <f>SUBTOTAL(103,Avril[15])</f>
        <v>0</v>
      </c>
      <c r="R12" s="11">
        <f>SUBTOTAL(103,Avril[16])</f>
        <v>0</v>
      </c>
      <c r="S12" s="11">
        <f>SUBTOTAL(103,Avril[17])</f>
        <v>0</v>
      </c>
      <c r="T12" s="11">
        <f>SUBTOTAL(103,Avril[18])</f>
        <v>0</v>
      </c>
      <c r="U12" s="11">
        <f>SUBTOTAL(103,Avril[19])</f>
        <v>0</v>
      </c>
      <c r="V12" s="11">
        <f>SUBTOTAL(103,Avril[20])</f>
        <v>0</v>
      </c>
      <c r="W12" s="11">
        <f>SUBTOTAL(103,Avril[21])</f>
        <v>0</v>
      </c>
      <c r="X12" s="11">
        <f>SUBTOTAL(103,Avril[22])</f>
        <v>0</v>
      </c>
      <c r="Y12" s="11">
        <f>SUBTOTAL(103,Avril[23])</f>
        <v>0</v>
      </c>
      <c r="Z12" s="11">
        <f>SUBTOTAL(103,Avril[24])</f>
        <v>0</v>
      </c>
      <c r="AA12" s="11">
        <f>SUBTOTAL(103,Avril[25])</f>
        <v>0</v>
      </c>
      <c r="AB12" s="11">
        <f>SUBTOTAL(103,Avril[26])</f>
        <v>0</v>
      </c>
      <c r="AC12" s="11">
        <f>SUBTOTAL(103,Avril[27])</f>
        <v>0</v>
      </c>
      <c r="AD12" s="11">
        <f>SUBTOTAL(103,Avril[28])</f>
        <v>0</v>
      </c>
      <c r="AE12" s="11">
        <f>SUBTOTAL(103,Avril[29])</f>
        <v>0</v>
      </c>
      <c r="AF12" s="11">
        <f>SUBTOTAL(103,Avril[30])</f>
        <v>0</v>
      </c>
      <c r="AG12" s="11">
        <f>SUBTOTAL(103,Avril[30])</f>
        <v>0</v>
      </c>
      <c r="AH12" s="11">
        <f>SUBTOTAL(109,Avril[Total des jours])</f>
        <v>0</v>
      </c>
    </row>
  </sheetData>
  <mergeCells count="6">
    <mergeCell ref="C4:AG4"/>
    <mergeCell ref="D2:E2"/>
    <mergeCell ref="G2:I2"/>
    <mergeCell ref="K2:L2"/>
    <mergeCell ref="N2:Q2"/>
    <mergeCell ref="S2:V2"/>
  </mergeCells>
  <conditionalFormatting sqref="C7:AG11">
    <cfRule type="expression" priority="1" stopIfTrue="1">
      <formula>C7=""</formula>
    </cfRule>
    <cfRule type="expression" dxfId="77" priority="2" stopIfTrue="1">
      <formula>C7=CléPersonnalisée2</formula>
    </cfRule>
    <cfRule type="expression" dxfId="76" priority="3" stopIfTrue="1">
      <formula>C7=CléPersonnalisée1</formula>
    </cfRule>
    <cfRule type="expression" dxfId="75" priority="4" stopIfTrue="1">
      <formula>C7=CléMaladie</formula>
    </cfRule>
    <cfRule type="expression" dxfId="74" priority="5" stopIfTrue="1">
      <formula>C7=CléPersonnel</formula>
    </cfRule>
    <cfRule type="expression" dxfId="73"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{0C86709F-D813-4066-A3F1-C30F11214F4B}</x14:id>
        </ext>
      </extLst>
    </cfRule>
  </conditionalFormatting>
  <dataValidations count="14">
    <dataValidation allowBlank="1" showInputMessage="1" showErrorMessage="1" prompt="Année mise à jour automatiquement en fonction de l’année entrée dans la feuille de calcul Janvier" sqref="AH4" xr:uid="{00000000-0002-0000-0300-000000000000}"/>
    <dataValidation allowBlank="1" showInputMessage="1" showErrorMessage="1" prompt="Calcule automatiquement le nombre total de jours d’absence d’un employé durant ce mois dans cette colonne" sqref="AH6" xr:uid="{00000000-0002-0000-0300-000001000000}"/>
    <dataValidation allowBlank="1" showInputMessage="1" showErrorMessage="1" prompt="Suivez les absences du mois d’avril dans cette feuille de calcul" sqref="A1" xr:uid="{00000000-0002-0000-0300-000002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300-000003000000}"/>
    <dataValidation allowBlank="1" showInputMessage="1" showErrorMessage="1" prompt="Le titre mis à jour automatiquement figure dans cette cellule. Pour modifier le titre, mettez à jour la cellule B1 de la feuille de calcul Janvier" sqref="B1" xr:uid="{00000000-0002-0000-0300-000004000000}"/>
    <dataValidation allowBlank="1" showInputMessage="1" showErrorMessage="1" prompt="La lettre « C » indique une absence pour cause de congé" sqref="C2" xr:uid="{00000000-0002-0000-0300-000005000000}"/>
    <dataValidation allowBlank="1" showInputMessage="1" showErrorMessage="1" prompt="La lettre « P » indique une absence pour motifs personnels" sqref="F2" xr:uid="{00000000-0002-0000-0300-000006000000}"/>
    <dataValidation allowBlank="1" showInputMessage="1" showErrorMessage="1" prompt="La lettre « M » indique une absence pour cause de maladie" sqref="J2" xr:uid="{00000000-0002-0000-0300-000007000000}"/>
    <dataValidation allowBlank="1" showInputMessage="1" showErrorMessage="1" prompt="Entrez une lettre et personnalisez l’étiquette à droite pour ajouter un élément de clé" sqref="M2 R2" xr:uid="{00000000-0002-0000-0300-000008000000}"/>
    <dataValidation allowBlank="1" showInputMessage="1" showErrorMessage="1" prompt="Entrez une étiquette pour décrire la clé personnalisée à gauche" sqref="N2 S2" xr:uid="{00000000-0002-0000-0300-000009000000}"/>
    <dataValidation allowBlank="1" showInputMessage="1" showErrorMessage="1" prompt="Cette ligne définit les clés utilisées dans le tableau : Congé en C2, Personnel en F2 et Congé maladie en J2. Les cellules M2 et R2 sont personnalisables" sqref="B2" xr:uid="{00000000-0002-0000-0300-00000A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300-00000B000000}"/>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300-00000C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3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0C86709F-D813-4066-A3F1-C30F11214F4B}">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E000000}">
          <x14:formula1>
            <xm:f>'Noms des employés'!$B$4:$B$8</xm:f>
          </x14:formula1>
          <xm:sqref>B7:B11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9.9978637043366805E-2"/>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56</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TEXT(WEEKDAY(DATE(AnnéeCalendrier,5,1),1),"jjj")</f>
        <v>mer</v>
      </c>
      <c r="D5" s="2" t="str">
        <f>TEXT(WEEKDAY(DATE(AnnéeCalendrier,5,2),1),"jjj")</f>
        <v>jeu</v>
      </c>
      <c r="E5" s="2" t="str">
        <f>TEXT(WEEKDAY(DATE(AnnéeCalendrier,5,3),1),"jjj")</f>
        <v>ven</v>
      </c>
      <c r="F5" s="2" t="str">
        <f>TEXT(WEEKDAY(DATE(AnnéeCalendrier,5,4),1),"jjj")</f>
        <v>sam</v>
      </c>
      <c r="G5" s="2" t="str">
        <f>TEXT(WEEKDAY(DATE(AnnéeCalendrier,5,5),1),"jjj")</f>
        <v>dim</v>
      </c>
      <c r="H5" s="2" t="str">
        <f>TEXT(WEEKDAY(DATE(AnnéeCalendrier,5,6),1),"jjj")</f>
        <v>lun</v>
      </c>
      <c r="I5" s="2" t="str">
        <f>TEXT(WEEKDAY(DATE(AnnéeCalendrier,5,7),1),"jjj")</f>
        <v>mar</v>
      </c>
      <c r="J5" s="2" t="str">
        <f>TEXT(WEEKDAY(DATE(AnnéeCalendrier,5,8),1),"jjj")</f>
        <v>mer</v>
      </c>
      <c r="K5" s="2" t="str">
        <f>TEXT(WEEKDAY(DATE(AnnéeCalendrier,5,9),1),"jjj")</f>
        <v>jeu</v>
      </c>
      <c r="L5" s="2" t="str">
        <f>TEXT(WEEKDAY(DATE(AnnéeCalendrier,5,10),1),"jjj")</f>
        <v>ven</v>
      </c>
      <c r="M5" s="2" t="str">
        <f>TEXT(WEEKDAY(DATE(AnnéeCalendrier,5,11),1),"jjj")</f>
        <v>sam</v>
      </c>
      <c r="N5" s="2" t="str">
        <f>TEXT(WEEKDAY(DATE(AnnéeCalendrier,5,12),1),"jjj")</f>
        <v>dim</v>
      </c>
      <c r="O5" s="2" t="str">
        <f>TEXT(WEEKDAY(DATE(AnnéeCalendrier,5,13),1),"jjj")</f>
        <v>lun</v>
      </c>
      <c r="P5" s="2" t="str">
        <f>TEXT(WEEKDAY(DATE(AnnéeCalendrier,5,14),1),"jjj")</f>
        <v>mar</v>
      </c>
      <c r="Q5" s="2" t="str">
        <f>TEXT(WEEKDAY(DATE(AnnéeCalendrier,5,15),1),"jjj")</f>
        <v>mer</v>
      </c>
      <c r="R5" s="2" t="str">
        <f>TEXT(WEEKDAY(DATE(AnnéeCalendrier,5,16),1),"jjj")</f>
        <v>jeu</v>
      </c>
      <c r="S5" s="2" t="str">
        <f>TEXT(WEEKDAY(DATE(AnnéeCalendrier,5,17),1),"jjj")</f>
        <v>ven</v>
      </c>
      <c r="T5" s="2" t="str">
        <f>TEXT(WEEKDAY(DATE(AnnéeCalendrier,5,18),1),"jjj")</f>
        <v>sam</v>
      </c>
      <c r="U5" s="2" t="str">
        <f>TEXT(WEEKDAY(DATE(AnnéeCalendrier,5,19),1),"jjj")</f>
        <v>dim</v>
      </c>
      <c r="V5" s="2" t="str">
        <f>TEXT(WEEKDAY(DATE(AnnéeCalendrier,5,20),1),"jjj")</f>
        <v>lun</v>
      </c>
      <c r="W5" s="2" t="str">
        <f>TEXT(WEEKDAY(DATE(AnnéeCalendrier,5,21),1),"jjj")</f>
        <v>mar</v>
      </c>
      <c r="X5" s="2" t="str">
        <f>TEXT(WEEKDAY(DATE(AnnéeCalendrier,5,22),1),"jjj")</f>
        <v>mer</v>
      </c>
      <c r="Y5" s="2" t="str">
        <f>TEXT(WEEKDAY(DATE(AnnéeCalendrier,5,23),1),"jjj")</f>
        <v>jeu</v>
      </c>
      <c r="Z5" s="2" t="str">
        <f>TEXT(WEEKDAY(DATE(AnnéeCalendrier,5,24),1),"jjj")</f>
        <v>ven</v>
      </c>
      <c r="AA5" s="2" t="str">
        <f>TEXT(WEEKDAY(DATE(AnnéeCalendrier,5,25),1),"jjj")</f>
        <v>sam</v>
      </c>
      <c r="AB5" s="2" t="str">
        <f>TEXT(WEEKDAY(DATE(AnnéeCalendrier,5,26),1),"jjj")</f>
        <v>dim</v>
      </c>
      <c r="AC5" s="2" t="str">
        <f>TEXT(WEEKDAY(DATE(AnnéeCalendrier,5,27),1),"jjj")</f>
        <v>lun</v>
      </c>
      <c r="AD5" s="2" t="str">
        <f>TEXT(WEEKDAY(DATE(AnnéeCalendrier,5,28),1),"jjj")</f>
        <v>mar</v>
      </c>
      <c r="AE5" s="2" t="str">
        <f>TEXT(WEEKDAY(DATE(AnnéeCalendrier,5,29),1),"jjj")</f>
        <v>mer</v>
      </c>
      <c r="AF5" s="2" t="str">
        <f>TEXT(WEEKDAY(DATE(AnnéeCalendrier,5,30),1),"jjj")</f>
        <v>jeu</v>
      </c>
      <c r="AG5" s="2" t="str">
        <f>TEXT(WEEKDAY(DATE(AnnéeCalendrier,5,31),1),"jjj")</f>
        <v>ven</v>
      </c>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48</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COUNTA(Mai[[#This Row],[1]:[31]])</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COUNTA(Mai[[#This Row],[1]:[31]])</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COUNTA(Mai[[#This Row],[1]:[31]])</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COUNTA(Mai[[#This Row],[1]:[31]])</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COUNTA(Mai[[#This Row],[1]:[31]])</f>
        <v>0</v>
      </c>
    </row>
    <row r="12" spans="2:34" ht="30" customHeight="1" x14ac:dyDescent="0.35">
      <c r="B12" s="18" t="str">
        <f>NomMois&amp;" Total"</f>
        <v>Mai Total</v>
      </c>
      <c r="C12" s="11">
        <f>SUBTOTAL(103,Mai[1])</f>
        <v>0</v>
      </c>
      <c r="D12" s="11">
        <f>SUBTOTAL(103,Mai[2])</f>
        <v>0</v>
      </c>
      <c r="E12" s="11">
        <f>SUBTOTAL(103,Mai[3])</f>
        <v>0</v>
      </c>
      <c r="F12" s="11">
        <f>SUBTOTAL(103,Mai[4])</f>
        <v>0</v>
      </c>
      <c r="G12" s="11">
        <f>SUBTOTAL(103,Mai[5])</f>
        <v>0</v>
      </c>
      <c r="H12" s="11">
        <f>SUBTOTAL(103,Mai[6])</f>
        <v>0</v>
      </c>
      <c r="I12" s="11">
        <f>SUBTOTAL(103,Mai[7])</f>
        <v>0</v>
      </c>
      <c r="J12" s="11">
        <f>SUBTOTAL(103,Mai[8])</f>
        <v>0</v>
      </c>
      <c r="K12" s="11">
        <f>SUBTOTAL(103,Mai[9])</f>
        <v>0</v>
      </c>
      <c r="L12" s="11">
        <f>SUBTOTAL(103,Mai[10])</f>
        <v>0</v>
      </c>
      <c r="M12" s="11">
        <f>SUBTOTAL(103,Mai[11])</f>
        <v>0</v>
      </c>
      <c r="N12" s="11">
        <f>SUBTOTAL(103,Mai[12])</f>
        <v>0</v>
      </c>
      <c r="O12" s="11">
        <f>SUBTOTAL(103,Mai[13])</f>
        <v>0</v>
      </c>
      <c r="P12" s="11">
        <f>SUBTOTAL(103,Mai[14])</f>
        <v>0</v>
      </c>
      <c r="Q12" s="11">
        <f>SUBTOTAL(103,Mai[15])</f>
        <v>0</v>
      </c>
      <c r="R12" s="11">
        <f>SUBTOTAL(103,Mai[16])</f>
        <v>0</v>
      </c>
      <c r="S12" s="11">
        <f>SUBTOTAL(103,Mai[17])</f>
        <v>0</v>
      </c>
      <c r="T12" s="11">
        <f>SUBTOTAL(103,Mai[18])</f>
        <v>0</v>
      </c>
      <c r="U12" s="11">
        <f>SUBTOTAL(103,Mai[19])</f>
        <v>0</v>
      </c>
      <c r="V12" s="11">
        <f>SUBTOTAL(103,Mai[20])</f>
        <v>0</v>
      </c>
      <c r="W12" s="11">
        <f>SUBTOTAL(103,Mai[21])</f>
        <v>0</v>
      </c>
      <c r="X12" s="11">
        <f>SUBTOTAL(103,Mai[22])</f>
        <v>0</v>
      </c>
      <c r="Y12" s="11">
        <f>SUBTOTAL(103,Mai[23])</f>
        <v>0</v>
      </c>
      <c r="Z12" s="11">
        <f>SUBTOTAL(103,Mai[24])</f>
        <v>0</v>
      </c>
      <c r="AA12" s="11">
        <f>SUBTOTAL(103,Mai[25])</f>
        <v>0</v>
      </c>
      <c r="AB12" s="11">
        <f>SUBTOTAL(103,Mai[26])</f>
        <v>0</v>
      </c>
      <c r="AC12" s="11">
        <f>SUBTOTAL(103,Mai[27])</f>
        <v>0</v>
      </c>
      <c r="AD12" s="11">
        <f>SUBTOTAL(103,Mai[28])</f>
        <v>0</v>
      </c>
      <c r="AE12" s="11">
        <f>SUBTOTAL(103,Mai[29])</f>
        <v>0</v>
      </c>
      <c r="AF12" s="11">
        <f>SUBTOTAL(103,Mai[30])</f>
        <v>0</v>
      </c>
      <c r="AG12" s="11">
        <f>SUBTOTAL(103,Mai[31])</f>
        <v>0</v>
      </c>
      <c r="AH12" s="11">
        <f>SUBTOTAL(109,Mai[Total des jours])</f>
        <v>0</v>
      </c>
    </row>
  </sheetData>
  <mergeCells count="6">
    <mergeCell ref="C4:AG4"/>
    <mergeCell ref="D2:E2"/>
    <mergeCell ref="G2:I2"/>
    <mergeCell ref="K2:L2"/>
    <mergeCell ref="N2:Q2"/>
    <mergeCell ref="S2:V2"/>
  </mergeCells>
  <conditionalFormatting sqref="C7:AG11">
    <cfRule type="expression" priority="1" stopIfTrue="1">
      <formula>C7=""</formula>
    </cfRule>
    <cfRule type="expression" dxfId="72" priority="2" stopIfTrue="1">
      <formula>C7=CléPersonnalisée2</formula>
    </cfRule>
    <cfRule type="expression" dxfId="71" priority="3" stopIfTrue="1">
      <formula>C7=CléPersonnalisée1</formula>
    </cfRule>
    <cfRule type="expression" dxfId="70" priority="4" stopIfTrue="1">
      <formula>C7=CléMaladie</formula>
    </cfRule>
    <cfRule type="expression" dxfId="69" priority="5" stopIfTrue="1">
      <formula>C7=CléPersonnel</formula>
    </cfRule>
    <cfRule type="expression" dxfId="68"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{5670947F-8B3C-4A6C-A280-4F5E10811DCE}</x14:id>
        </ext>
      </extLst>
    </cfRule>
  </conditionalFormatting>
  <dataValidations count="14">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400-000000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400-000001000000}"/>
    <dataValidation allowBlank="1" showInputMessage="1" showErrorMessage="1" prompt="Cette ligne définit les clés utilisées dans le tableau : Congé en C2, Personnel en F2 et Congé maladie en J2. Les cellules M2 et R2 sont personnalisables" sqref="B2" xr:uid="{00000000-0002-0000-0400-000002000000}"/>
    <dataValidation allowBlank="1" showInputMessage="1" showErrorMessage="1" prompt="Entrez une étiquette pour décrire la clé personnalisée à gauche" sqref="N2 S2" xr:uid="{00000000-0002-0000-0400-000003000000}"/>
    <dataValidation allowBlank="1" showInputMessage="1" showErrorMessage="1" prompt="Entrez une lettre et personnalisez l’étiquette à droite pour ajouter un élément de clé" sqref="M2 R2" xr:uid="{00000000-0002-0000-0400-000004000000}"/>
    <dataValidation allowBlank="1" showInputMessage="1" showErrorMessage="1" prompt="La lettre « M » indique une absence pour cause de maladie" sqref="J2" xr:uid="{00000000-0002-0000-0400-000005000000}"/>
    <dataValidation allowBlank="1" showInputMessage="1" showErrorMessage="1" prompt="La lettre « P » indique une absence pour motifs personnels" sqref="F2" xr:uid="{00000000-0002-0000-0400-000006000000}"/>
    <dataValidation allowBlank="1" showInputMessage="1" showErrorMessage="1" prompt="La lettre « C » indique une absence pour cause de congé" sqref="C2" xr:uid="{00000000-0002-0000-0400-000007000000}"/>
    <dataValidation allowBlank="1" showInputMessage="1" showErrorMessage="1" prompt="Le titre mis à jour automatiquement figure dans cette cellule. Pour modifier le titre, mettez à jour la cellule B1 de la feuille de calcul Janvier" sqref="B1" xr:uid="{00000000-0002-0000-0400-000008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400-000009000000}"/>
    <dataValidation allowBlank="1" showInputMessage="1" showErrorMessage="1" prompt="Suivez les absences du mois de mai dans cette feuille de calcul" sqref="A1" xr:uid="{00000000-0002-0000-0400-00000A000000}"/>
    <dataValidation allowBlank="1" showInputMessage="1" showErrorMessage="1" prompt="Calcule automatiquement le nombre total de jours d’absence d’un employé durant ce mois dans cette colonne" sqref="AH6" xr:uid="{00000000-0002-0000-0400-00000B000000}"/>
    <dataValidation allowBlank="1" showInputMessage="1" showErrorMessage="1" prompt="Année mise à jour automatiquement en fonction de l’année entrée dans la feuille de calcul Janvier" sqref="AH4" xr:uid="{00000000-0002-0000-0400-00000C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4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5670947F-8B3C-4A6C-A280-4F5E10811DCE}">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E000000}">
          <x14:formula1>
            <xm:f>'Noms des employés'!$B$4:$B$8</xm:f>
          </x14:formula1>
          <xm:sqref>B7:B11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57</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TEXT(WEEKDAY(DATE(AnnéeCalendrier,6,1),1),"jjj")</f>
        <v>sam</v>
      </c>
      <c r="D5" s="2" t="str">
        <f>TEXT(WEEKDAY(DATE(AnnéeCalendrier,6,2),1),"jjj")</f>
        <v>dim</v>
      </c>
      <c r="E5" s="2" t="str">
        <f>TEXT(WEEKDAY(DATE(AnnéeCalendrier,6,3),1),"jjj")</f>
        <v>lun</v>
      </c>
      <c r="F5" s="2" t="str">
        <f>TEXT(WEEKDAY(DATE(AnnéeCalendrier,6,4),1),"jjj")</f>
        <v>mar</v>
      </c>
      <c r="G5" s="2" t="str">
        <f>TEXT(WEEKDAY(DATE(AnnéeCalendrier,6,5),1),"jjj")</f>
        <v>mer</v>
      </c>
      <c r="H5" s="2" t="str">
        <f>TEXT(WEEKDAY(DATE(AnnéeCalendrier,6,6),1),"jjj")</f>
        <v>jeu</v>
      </c>
      <c r="I5" s="2" t="str">
        <f>TEXT(WEEKDAY(DATE(AnnéeCalendrier,6,7),1),"jjj")</f>
        <v>ven</v>
      </c>
      <c r="J5" s="2" t="str">
        <f>TEXT(WEEKDAY(DATE(AnnéeCalendrier,6,8),1),"jjj")</f>
        <v>sam</v>
      </c>
      <c r="K5" s="2" t="str">
        <f>TEXT(WEEKDAY(DATE(AnnéeCalendrier,6,9),1),"jjj")</f>
        <v>dim</v>
      </c>
      <c r="L5" s="2" t="str">
        <f>TEXT(WEEKDAY(DATE(AnnéeCalendrier,6,10),1),"jjj")</f>
        <v>lun</v>
      </c>
      <c r="M5" s="2" t="str">
        <f>TEXT(WEEKDAY(DATE(AnnéeCalendrier,6,11),1),"jjj")</f>
        <v>mar</v>
      </c>
      <c r="N5" s="2" t="str">
        <f>TEXT(WEEKDAY(DATE(AnnéeCalendrier,6,12),1),"jjj")</f>
        <v>mer</v>
      </c>
      <c r="O5" s="2" t="str">
        <f>TEXT(WEEKDAY(DATE(AnnéeCalendrier,6,13),1),"jjj")</f>
        <v>jeu</v>
      </c>
      <c r="P5" s="2" t="str">
        <f>TEXT(WEEKDAY(DATE(AnnéeCalendrier,6,14),1),"jjj")</f>
        <v>ven</v>
      </c>
      <c r="Q5" s="2" t="str">
        <f>TEXT(WEEKDAY(DATE(AnnéeCalendrier,6,15),1),"jjj")</f>
        <v>sam</v>
      </c>
      <c r="R5" s="2" t="str">
        <f>TEXT(WEEKDAY(DATE(AnnéeCalendrier,6,16),1),"jjj")</f>
        <v>dim</v>
      </c>
      <c r="S5" s="2" t="str">
        <f>TEXT(WEEKDAY(DATE(AnnéeCalendrier,6,17),1),"jjj")</f>
        <v>lun</v>
      </c>
      <c r="T5" s="2" t="str">
        <f>TEXT(WEEKDAY(DATE(AnnéeCalendrier,6,18),1),"jjj")</f>
        <v>mar</v>
      </c>
      <c r="U5" s="2" t="str">
        <f>TEXT(WEEKDAY(DATE(AnnéeCalendrier,6,19),1),"jjj")</f>
        <v>mer</v>
      </c>
      <c r="V5" s="2" t="str">
        <f>TEXT(WEEKDAY(DATE(AnnéeCalendrier,6,20),1),"jjj")</f>
        <v>jeu</v>
      </c>
      <c r="W5" s="2" t="str">
        <f>TEXT(WEEKDAY(DATE(AnnéeCalendrier,6,21),1),"jjj")</f>
        <v>ven</v>
      </c>
      <c r="X5" s="2" t="str">
        <f>TEXT(WEEKDAY(DATE(AnnéeCalendrier,6,22),1),"jjj")</f>
        <v>sam</v>
      </c>
      <c r="Y5" s="2" t="str">
        <f>TEXT(WEEKDAY(DATE(AnnéeCalendrier,6,23),1),"jjj")</f>
        <v>dim</v>
      </c>
      <c r="Z5" s="2" t="str">
        <f>TEXT(WEEKDAY(DATE(AnnéeCalendrier,6,24),1),"jjj")</f>
        <v>lun</v>
      </c>
      <c r="AA5" s="2" t="str">
        <f>TEXT(WEEKDAY(DATE(AnnéeCalendrier,6,25),1),"jjj")</f>
        <v>mar</v>
      </c>
      <c r="AB5" s="2" t="str">
        <f>TEXT(WEEKDAY(DATE(AnnéeCalendrier,6,26),1),"jjj")</f>
        <v>mer</v>
      </c>
      <c r="AC5" s="2" t="str">
        <f>TEXT(WEEKDAY(DATE(AnnéeCalendrier,6,27),1),"jjj")</f>
        <v>jeu</v>
      </c>
      <c r="AD5" s="2" t="str">
        <f>TEXT(WEEKDAY(DATE(AnnéeCalendrier,6,28),1),"jjj")</f>
        <v>ven</v>
      </c>
      <c r="AE5" s="2" t="str">
        <f>TEXT(WEEKDAY(DATE(AnnéeCalendrier,6,29),1),"jjj")</f>
        <v>sam</v>
      </c>
      <c r="AF5" s="2" t="str">
        <f>TEXT(WEEKDAY(DATE(AnnéeCalendrier,6,30),1),"jjj")</f>
        <v>dim</v>
      </c>
      <c r="AG5" s="2"/>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52</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COUNTA(Juin[[#This Row],[1]:[30]])</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COUNTA(Juin[[#This Row],[1]:[30]])</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COUNTA(Juin[[#This Row],[1]:[30]])</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COUNTA(Juin[[#This Row],[1]:[30]])</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COUNTA(Juin[[#This Row],[1]:[30]])</f>
        <v>0</v>
      </c>
    </row>
    <row r="12" spans="2:34" ht="30" customHeight="1" x14ac:dyDescent="0.35">
      <c r="B12" s="18" t="str">
        <f>NomMois&amp;" Total"</f>
        <v>Juin Total</v>
      </c>
      <c r="C12" s="11">
        <f>SUBTOTAL(103,Juin[1])</f>
        <v>0</v>
      </c>
      <c r="D12" s="11">
        <f>SUBTOTAL(103,Juin[2])</f>
        <v>0</v>
      </c>
      <c r="E12" s="11">
        <f>SUBTOTAL(103,Juin[3])</f>
        <v>0</v>
      </c>
      <c r="F12" s="11">
        <f>SUBTOTAL(103,Juin[4])</f>
        <v>0</v>
      </c>
      <c r="G12" s="11">
        <f>SUBTOTAL(103,Juin[5])</f>
        <v>0</v>
      </c>
      <c r="H12" s="11">
        <f>SUBTOTAL(103,Juin[6])</f>
        <v>0</v>
      </c>
      <c r="I12" s="11">
        <f>SUBTOTAL(103,Juin[7])</f>
        <v>0</v>
      </c>
      <c r="J12" s="11">
        <f>SUBTOTAL(103,Juin[8])</f>
        <v>0</v>
      </c>
      <c r="K12" s="11">
        <f>SUBTOTAL(103,Juin[9])</f>
        <v>0</v>
      </c>
      <c r="L12" s="11">
        <f>SUBTOTAL(103,Juin[10])</f>
        <v>0</v>
      </c>
      <c r="M12" s="11">
        <f>SUBTOTAL(103,Juin[11])</f>
        <v>0</v>
      </c>
      <c r="N12" s="11">
        <f>SUBTOTAL(103,Juin[12])</f>
        <v>0</v>
      </c>
      <c r="O12" s="11">
        <f>SUBTOTAL(103,Juin[13])</f>
        <v>0</v>
      </c>
      <c r="P12" s="11">
        <f>SUBTOTAL(103,Juin[14])</f>
        <v>0</v>
      </c>
      <c r="Q12" s="11">
        <f>SUBTOTAL(103,Juin[15])</f>
        <v>0</v>
      </c>
      <c r="R12" s="11">
        <f>SUBTOTAL(103,Juin[16])</f>
        <v>0</v>
      </c>
      <c r="S12" s="11">
        <f>SUBTOTAL(103,Juin[17])</f>
        <v>0</v>
      </c>
      <c r="T12" s="11">
        <f>SUBTOTAL(103,Juin[18])</f>
        <v>0</v>
      </c>
      <c r="U12" s="11">
        <f>SUBTOTAL(103,Juin[19])</f>
        <v>0</v>
      </c>
      <c r="V12" s="11">
        <f>SUBTOTAL(103,Juin[20])</f>
        <v>0</v>
      </c>
      <c r="W12" s="11">
        <f>SUBTOTAL(103,Juin[21])</f>
        <v>0</v>
      </c>
      <c r="X12" s="11">
        <f>SUBTOTAL(103,Juin[22])</f>
        <v>0</v>
      </c>
      <c r="Y12" s="11">
        <f>SUBTOTAL(103,Juin[23])</f>
        <v>0</v>
      </c>
      <c r="Z12" s="11">
        <f>SUBTOTAL(103,Juin[24])</f>
        <v>0</v>
      </c>
      <c r="AA12" s="11">
        <f>SUBTOTAL(103,Juin[25])</f>
        <v>0</v>
      </c>
      <c r="AB12" s="11">
        <f>SUBTOTAL(103,Juin[26])</f>
        <v>0</v>
      </c>
      <c r="AC12" s="11">
        <f>SUBTOTAL(103,Juin[27])</f>
        <v>0</v>
      </c>
      <c r="AD12" s="11">
        <f>SUBTOTAL(103,Juin[28])</f>
        <v>0</v>
      </c>
      <c r="AE12" s="11">
        <f>SUBTOTAL(103,Juin[29])</f>
        <v>0</v>
      </c>
      <c r="AF12" s="11">
        <f>SUBTOTAL(103,Juin[30])</f>
        <v>0</v>
      </c>
      <c r="AG12" s="11">
        <f>SUBTOTAL(103,Juin[[ ]])</f>
        <v>0</v>
      </c>
      <c r="AH12" s="11">
        <f>SUBTOTAL(109,Juin[Total des jours])</f>
        <v>0</v>
      </c>
    </row>
  </sheetData>
  <mergeCells count="6">
    <mergeCell ref="C4:AG4"/>
    <mergeCell ref="D2:E2"/>
    <mergeCell ref="G2:I2"/>
    <mergeCell ref="K2:L2"/>
    <mergeCell ref="N2:Q2"/>
    <mergeCell ref="S2:V2"/>
  </mergeCells>
  <conditionalFormatting sqref="C7:AG11">
    <cfRule type="expression" priority="1" stopIfTrue="1">
      <formula>C7=""</formula>
    </cfRule>
    <cfRule type="expression" dxfId="67" priority="2" stopIfTrue="1">
      <formula>C7=CléPersonnalisée2</formula>
    </cfRule>
    <cfRule type="expression" dxfId="66" priority="3" stopIfTrue="1">
      <formula>C7=CléPersonnalisée1</formula>
    </cfRule>
    <cfRule type="expression" dxfId="65" priority="4" stopIfTrue="1">
      <formula>C7=CléMaladie</formula>
    </cfRule>
    <cfRule type="expression" dxfId="64" priority="5" stopIfTrue="1">
      <formula>C7=CléPersonnel</formula>
    </cfRule>
    <cfRule type="expression" dxfId="63"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{5E94D469-7B22-408B-924D-8DC8A136AD3B}</x14:id>
        </ext>
      </extLst>
    </cfRule>
  </conditionalFormatting>
  <dataValidations count="14">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500-000000000000}"/>
    <dataValidation allowBlank="1" showInputMessage="1" showErrorMessage="1" prompt="Année mise à jour automatiquement en fonction de l’année entrée dans la feuille de calcul Janvier" sqref="AH4" xr:uid="{00000000-0002-0000-0500-000001000000}"/>
    <dataValidation allowBlank="1" showInputMessage="1" showErrorMessage="1" prompt="Calcule automatiquement le nombre total de jours d’absence d’un employé durant ce mois dans cette colonne" sqref="AH6" xr:uid="{00000000-0002-0000-0500-000002000000}"/>
    <dataValidation allowBlank="1" showInputMessage="1" showErrorMessage="1" prompt="Suivez les absences du mois de juin dans cette feuille de calcul" sqref="A1" xr:uid="{00000000-0002-0000-0500-000003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500-000004000000}"/>
    <dataValidation allowBlank="1" showInputMessage="1" showErrorMessage="1" prompt="Le titre mis à jour automatiquement figure dans cette cellule. Pour modifier le titre, mettez à jour la cellule B1 de la feuille de calcul Janvier" sqref="B1" xr:uid="{00000000-0002-0000-0500-000005000000}"/>
    <dataValidation allowBlank="1" showInputMessage="1" showErrorMessage="1" prompt="La lettre « C » indique une absence pour cause de congé" sqref="C2" xr:uid="{00000000-0002-0000-0500-000006000000}"/>
    <dataValidation allowBlank="1" showInputMessage="1" showErrorMessage="1" prompt="La lettre « P » indique une absence pour motifs personnels" sqref="F2" xr:uid="{00000000-0002-0000-0500-000007000000}"/>
    <dataValidation allowBlank="1" showInputMessage="1" showErrorMessage="1" prompt="La lettre « M » indique une absence pour cause de maladie" sqref="J2" xr:uid="{00000000-0002-0000-0500-000008000000}"/>
    <dataValidation allowBlank="1" showInputMessage="1" showErrorMessage="1" prompt="Entrez une lettre et personnalisez l’étiquette à droite pour ajouter un élément de clé" sqref="M2 R2" xr:uid="{00000000-0002-0000-0500-000009000000}"/>
    <dataValidation allowBlank="1" showInputMessage="1" showErrorMessage="1" prompt="Entrez une étiquette pour décrire la clé personnalisée à gauche" sqref="N2 S2" xr:uid="{00000000-0002-0000-0500-00000A000000}"/>
    <dataValidation allowBlank="1" showInputMessage="1" showErrorMessage="1" prompt="Cette ligne définit les clés utilisées dans le tableau : Congé en C2, Personnel en F2 et Congé maladie en J2. Les cellules M2 et R2 sont personnalisables" sqref="B2" xr:uid="{00000000-0002-0000-0500-00000B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500-00000C000000}"/>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5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5E94D469-7B22-408B-924D-8DC8A136AD3B}">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E000000}">
          <x14:formula1>
            <xm:f>'Noms des employés'!$B$4:$B$8</xm:f>
          </x14:formula1>
          <xm:sqref>B7:B11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58</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TEXT(WEEKDAY(DATE(AnnéeCalendrier,7,1),1),"jjj")</f>
        <v>lun</v>
      </c>
      <c r="D5" s="2" t="str">
        <f>TEXT(WEEKDAY(DATE(AnnéeCalendrier,7,2),1),"jjj")</f>
        <v>mar</v>
      </c>
      <c r="E5" s="2" t="str">
        <f>TEXT(WEEKDAY(DATE(AnnéeCalendrier,7,3),1),"jjj")</f>
        <v>mer</v>
      </c>
      <c r="F5" s="2" t="str">
        <f>TEXT(WEEKDAY(DATE(AnnéeCalendrier,7,4),1),"jjj")</f>
        <v>jeu</v>
      </c>
      <c r="G5" s="2" t="str">
        <f>TEXT(WEEKDAY(DATE(AnnéeCalendrier,7,5),1),"jjj")</f>
        <v>ven</v>
      </c>
      <c r="H5" s="2" t="str">
        <f>TEXT(WEEKDAY(DATE(AnnéeCalendrier,7,6),1),"jjj")</f>
        <v>sam</v>
      </c>
      <c r="I5" s="2" t="str">
        <f>TEXT(WEEKDAY(DATE(AnnéeCalendrier,7,7),1),"jjj")</f>
        <v>dim</v>
      </c>
      <c r="J5" s="2" t="str">
        <f>TEXT(WEEKDAY(DATE(AnnéeCalendrier,7,8),1),"jjj")</f>
        <v>lun</v>
      </c>
      <c r="K5" s="2" t="str">
        <f>TEXT(WEEKDAY(DATE(AnnéeCalendrier,7,9),1),"jjj")</f>
        <v>mar</v>
      </c>
      <c r="L5" s="2" t="str">
        <f>TEXT(WEEKDAY(DATE(AnnéeCalendrier,7,10),1),"jjj")</f>
        <v>mer</v>
      </c>
      <c r="M5" s="2" t="str">
        <f>TEXT(WEEKDAY(DATE(AnnéeCalendrier,7,11),1),"jjj")</f>
        <v>jeu</v>
      </c>
      <c r="N5" s="2" t="str">
        <f>TEXT(WEEKDAY(DATE(AnnéeCalendrier,7,12),1),"jjj")</f>
        <v>ven</v>
      </c>
      <c r="O5" s="2" t="str">
        <f>TEXT(WEEKDAY(DATE(AnnéeCalendrier,7,13),1),"jjj")</f>
        <v>sam</v>
      </c>
      <c r="P5" s="2" t="str">
        <f>TEXT(WEEKDAY(DATE(AnnéeCalendrier,7,14),1),"jjj")</f>
        <v>dim</v>
      </c>
      <c r="Q5" s="2" t="str">
        <f>TEXT(WEEKDAY(DATE(AnnéeCalendrier,7,15),1),"jjj")</f>
        <v>lun</v>
      </c>
      <c r="R5" s="2" t="str">
        <f>TEXT(WEEKDAY(DATE(AnnéeCalendrier,7,16),1),"jjj")</f>
        <v>mar</v>
      </c>
      <c r="S5" s="2" t="str">
        <f>TEXT(WEEKDAY(DATE(AnnéeCalendrier,7,17),1),"jjj")</f>
        <v>mer</v>
      </c>
      <c r="T5" s="2" t="str">
        <f>TEXT(WEEKDAY(DATE(AnnéeCalendrier,7,18),1),"jjj")</f>
        <v>jeu</v>
      </c>
      <c r="U5" s="2" t="str">
        <f>TEXT(WEEKDAY(DATE(AnnéeCalendrier,7,19),1),"jjj")</f>
        <v>ven</v>
      </c>
      <c r="V5" s="2" t="str">
        <f>TEXT(WEEKDAY(DATE(AnnéeCalendrier,7,20),1),"jjj")</f>
        <v>sam</v>
      </c>
      <c r="W5" s="2" t="str">
        <f>TEXT(WEEKDAY(DATE(AnnéeCalendrier,7,21),1),"jjj")</f>
        <v>dim</v>
      </c>
      <c r="X5" s="2" t="str">
        <f>TEXT(WEEKDAY(DATE(AnnéeCalendrier,7,22),1),"jjj")</f>
        <v>lun</v>
      </c>
      <c r="Y5" s="2" t="str">
        <f>TEXT(WEEKDAY(DATE(AnnéeCalendrier,7,23),1),"jjj")</f>
        <v>mar</v>
      </c>
      <c r="Z5" s="2" t="str">
        <f>TEXT(WEEKDAY(DATE(AnnéeCalendrier,7,24),1),"jjj")</f>
        <v>mer</v>
      </c>
      <c r="AA5" s="2" t="str">
        <f>TEXT(WEEKDAY(DATE(AnnéeCalendrier,7,25),1),"jjj")</f>
        <v>jeu</v>
      </c>
      <c r="AB5" s="2" t="str">
        <f>TEXT(WEEKDAY(DATE(AnnéeCalendrier,7,26),1),"jjj")</f>
        <v>ven</v>
      </c>
      <c r="AC5" s="2" t="str">
        <f>TEXT(WEEKDAY(DATE(AnnéeCalendrier,7,27),1),"jjj")</f>
        <v>sam</v>
      </c>
      <c r="AD5" s="2" t="str">
        <f>TEXT(WEEKDAY(DATE(AnnéeCalendrier,7,28),1),"jjj")</f>
        <v>dim</v>
      </c>
      <c r="AE5" s="2" t="str">
        <f>TEXT(WEEKDAY(DATE(AnnéeCalendrier,7,29),1),"jjj")</f>
        <v>lun</v>
      </c>
      <c r="AF5" s="2" t="str">
        <f>TEXT(WEEKDAY(DATE(AnnéeCalendrier,7,30),1),"jjj")</f>
        <v>mar</v>
      </c>
      <c r="AG5" s="2" t="str">
        <f>TEXT(WEEKDAY(DATE(AnnéeCalendrier,7,31),1),"jjj")</f>
        <v>mer</v>
      </c>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48</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COUNTA(Juillet[[#This Row],[1]:[31]])</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COUNTA(Juillet[[#This Row],[1]:[31]])</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COUNTA(Juillet[[#This Row],[1]:[31]])</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COUNTA(Juillet[[#This Row],[1]:[31]])</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COUNTA(Juillet[[#This Row],[1]:[31]])</f>
        <v>0</v>
      </c>
    </row>
    <row r="12" spans="2:34" ht="30" customHeight="1" x14ac:dyDescent="0.35">
      <c r="B12" s="18" t="str">
        <f>NomMois&amp;" Total"</f>
        <v>Juillet Total</v>
      </c>
      <c r="C12" s="11">
        <f>SUBTOTAL(103,Juillet[1])</f>
        <v>0</v>
      </c>
      <c r="D12" s="11">
        <f>SUBTOTAL(103,Juillet[2])</f>
        <v>0</v>
      </c>
      <c r="E12" s="11">
        <f>SUBTOTAL(103,Juillet[3])</f>
        <v>0</v>
      </c>
      <c r="F12" s="11">
        <f>SUBTOTAL(103,Juillet[4])</f>
        <v>0</v>
      </c>
      <c r="G12" s="11">
        <f>SUBTOTAL(103,Juillet[5])</f>
        <v>0</v>
      </c>
      <c r="H12" s="11">
        <f>SUBTOTAL(103,Juillet[6])</f>
        <v>0</v>
      </c>
      <c r="I12" s="11">
        <f>SUBTOTAL(103,Juillet[7])</f>
        <v>0</v>
      </c>
      <c r="J12" s="11">
        <f>SUBTOTAL(103,Juillet[8])</f>
        <v>0</v>
      </c>
      <c r="K12" s="11">
        <f>SUBTOTAL(103,Juillet[9])</f>
        <v>0</v>
      </c>
      <c r="L12" s="11">
        <f>SUBTOTAL(103,Juillet[10])</f>
        <v>0</v>
      </c>
      <c r="M12" s="11">
        <f>SUBTOTAL(103,Juillet[11])</f>
        <v>0</v>
      </c>
      <c r="N12" s="11">
        <f>SUBTOTAL(103,Juillet[12])</f>
        <v>0</v>
      </c>
      <c r="O12" s="11">
        <f>SUBTOTAL(103,Juillet[13])</f>
        <v>0</v>
      </c>
      <c r="P12" s="11">
        <f>SUBTOTAL(103,Juillet[14])</f>
        <v>0</v>
      </c>
      <c r="Q12" s="11">
        <f>SUBTOTAL(103,Juillet[15])</f>
        <v>0</v>
      </c>
      <c r="R12" s="11">
        <f>SUBTOTAL(103,Juillet[16])</f>
        <v>0</v>
      </c>
      <c r="S12" s="11">
        <f>SUBTOTAL(103,Juillet[17])</f>
        <v>0</v>
      </c>
      <c r="T12" s="11">
        <f>SUBTOTAL(103,Juillet[18])</f>
        <v>0</v>
      </c>
      <c r="U12" s="11">
        <f>SUBTOTAL(103,Juillet[19])</f>
        <v>0</v>
      </c>
      <c r="V12" s="11">
        <f>SUBTOTAL(103,Juillet[20])</f>
        <v>0</v>
      </c>
      <c r="W12" s="11">
        <f>SUBTOTAL(103,Juillet[21])</f>
        <v>0</v>
      </c>
      <c r="X12" s="11">
        <f>SUBTOTAL(103,Juillet[22])</f>
        <v>0</v>
      </c>
      <c r="Y12" s="11">
        <f>SUBTOTAL(103,Juillet[23])</f>
        <v>0</v>
      </c>
      <c r="Z12" s="11">
        <f>SUBTOTAL(103,Juillet[24])</f>
        <v>0</v>
      </c>
      <c r="AA12" s="11">
        <f>SUBTOTAL(103,Juillet[25])</f>
        <v>0</v>
      </c>
      <c r="AB12" s="11">
        <f>SUBTOTAL(103,Juillet[26])</f>
        <v>0</v>
      </c>
      <c r="AC12" s="11">
        <f>SUBTOTAL(103,Juillet[27])</f>
        <v>0</v>
      </c>
      <c r="AD12" s="11">
        <f>SUBTOTAL(103,Juillet[28])</f>
        <v>0</v>
      </c>
      <c r="AE12" s="11">
        <f>SUBTOTAL(103,Juillet[29])</f>
        <v>0</v>
      </c>
      <c r="AF12" s="11">
        <f>SUBTOTAL(103,Juillet[30])</f>
        <v>0</v>
      </c>
      <c r="AG12" s="11">
        <f>SUBTOTAL(103,Juillet[31])</f>
        <v>0</v>
      </c>
      <c r="AH12" s="11">
        <f>SUBTOTAL(109,Juillet[Total des jours])</f>
        <v>0</v>
      </c>
    </row>
  </sheetData>
  <mergeCells count="6">
    <mergeCell ref="C4:AG4"/>
    <mergeCell ref="D2:E2"/>
    <mergeCell ref="G2:I2"/>
    <mergeCell ref="K2:L2"/>
    <mergeCell ref="N2:Q2"/>
    <mergeCell ref="S2:V2"/>
  </mergeCells>
  <conditionalFormatting sqref="C7:AG11">
    <cfRule type="expression" priority="1" stopIfTrue="1">
      <formula>C7=""</formula>
    </cfRule>
    <cfRule type="expression" dxfId="62" priority="2" stopIfTrue="1">
      <formula>C7=CléPersonnalisée2</formula>
    </cfRule>
    <cfRule type="expression" dxfId="61" priority="3" stopIfTrue="1">
      <formula>C7=CléPersonnalisée1</formula>
    </cfRule>
    <cfRule type="expression" dxfId="60" priority="4" stopIfTrue="1">
      <formula>C7=CléMaladie</formula>
    </cfRule>
    <cfRule type="expression" dxfId="59" priority="5" stopIfTrue="1">
      <formula>C7=CléPersonnel</formula>
    </cfRule>
    <cfRule type="expression" dxfId="58"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{E0DCF129-9B2A-4CEB-9E56-27607F4BED20}</x14:id>
        </ext>
      </extLst>
    </cfRule>
  </conditionalFormatting>
  <dataValidations count="14">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600-000000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600-000001000000}"/>
    <dataValidation allowBlank="1" showInputMessage="1" showErrorMessage="1" prompt="Cette ligne définit les clés utilisées dans le tableau : Congé en C2, Personnel en F2 et Congé maladie en J2. Les cellules M2 et R2 sont personnalisables" sqref="B2" xr:uid="{00000000-0002-0000-0600-000002000000}"/>
    <dataValidation allowBlank="1" showInputMessage="1" showErrorMessage="1" prompt="Entrez une étiquette pour décrire la clé personnalisée à gauche" sqref="N2 S2" xr:uid="{00000000-0002-0000-0600-000003000000}"/>
    <dataValidation allowBlank="1" showInputMessage="1" showErrorMessage="1" prompt="Entrez une lettre et personnalisez l’étiquette à droite pour ajouter un élément de clé" sqref="M2 R2" xr:uid="{00000000-0002-0000-0600-000004000000}"/>
    <dataValidation allowBlank="1" showInputMessage="1" showErrorMessage="1" prompt="La lettre « M » indique une absence pour cause de maladie" sqref="J2" xr:uid="{00000000-0002-0000-0600-000005000000}"/>
    <dataValidation allowBlank="1" showInputMessage="1" showErrorMessage="1" prompt="La lettre « P » indique une absence pour motifs personnels" sqref="F2" xr:uid="{00000000-0002-0000-0600-000006000000}"/>
    <dataValidation allowBlank="1" showInputMessage="1" showErrorMessage="1" prompt="La lettre « C » indique une absence pour cause de congé" sqref="C2" xr:uid="{00000000-0002-0000-0600-000007000000}"/>
    <dataValidation allowBlank="1" showInputMessage="1" showErrorMessage="1" prompt="Le titre mis à jour automatiquement figure dans cette cellule. Pour modifier le titre, mettez à jour la cellule B1 de la feuille de calcul Janvier" sqref="B1" xr:uid="{00000000-0002-0000-0600-000008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600-000009000000}"/>
    <dataValidation allowBlank="1" showInputMessage="1" showErrorMessage="1" prompt="Suivez les absences du mois de juillet dans cette feuille de calcul" sqref="A1" xr:uid="{00000000-0002-0000-0600-00000A000000}"/>
    <dataValidation allowBlank="1" showInputMessage="1" showErrorMessage="1" prompt="Calcule automatiquement le nombre total de jours d’absence d’un employé durant ce mois dans cette colonne" sqref="AH6" xr:uid="{00000000-0002-0000-0600-00000B000000}"/>
    <dataValidation allowBlank="1" showInputMessage="1" showErrorMessage="1" prompt="Année mise à jour automatiquement en fonction de l’année entrée dans la feuille de calcul Janvier" sqref="AH4" xr:uid="{00000000-0002-0000-0600-00000C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6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E0DCF129-9B2A-4CEB-9E56-27607F4BED20}">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E000000}">
          <x14:formula1>
            <xm:f>'Noms des employés'!$B$4:$B$8</xm:f>
          </x14:formula1>
          <xm:sqref>B7:B11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0.749992370372631"/>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59</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TEXT(WEEKDAY(DATE(AnnéeCalendrier,8,1),1),"jjj")</f>
        <v>jeu</v>
      </c>
      <c r="D5" s="2" t="str">
        <f>TEXT(WEEKDAY(DATE(AnnéeCalendrier,8,2),1),"jjj")</f>
        <v>ven</v>
      </c>
      <c r="E5" s="2" t="str">
        <f>TEXT(WEEKDAY(DATE(AnnéeCalendrier,8,3),1),"jjj")</f>
        <v>sam</v>
      </c>
      <c r="F5" s="2" t="str">
        <f>TEXT(WEEKDAY(DATE(AnnéeCalendrier,8,4),1),"jjj")</f>
        <v>dim</v>
      </c>
      <c r="G5" s="2" t="str">
        <f>TEXT(WEEKDAY(DATE(AnnéeCalendrier,8,5),1),"jjj")</f>
        <v>lun</v>
      </c>
      <c r="H5" s="2" t="str">
        <f>TEXT(WEEKDAY(DATE(AnnéeCalendrier,8,6),1),"jjj")</f>
        <v>mar</v>
      </c>
      <c r="I5" s="2" t="str">
        <f>TEXT(WEEKDAY(DATE(AnnéeCalendrier,8,7),1),"jjj")</f>
        <v>mer</v>
      </c>
      <c r="J5" s="2" t="str">
        <f>TEXT(WEEKDAY(DATE(AnnéeCalendrier,8,8),1),"jjj")</f>
        <v>jeu</v>
      </c>
      <c r="K5" s="2" t="str">
        <f>TEXT(WEEKDAY(DATE(AnnéeCalendrier,8,9),1),"jjj")</f>
        <v>ven</v>
      </c>
      <c r="L5" s="2" t="str">
        <f>TEXT(WEEKDAY(DATE(AnnéeCalendrier,8,10),1),"jjj")</f>
        <v>sam</v>
      </c>
      <c r="M5" s="2" t="str">
        <f>TEXT(WEEKDAY(DATE(AnnéeCalendrier,8,11),1),"jjj")</f>
        <v>dim</v>
      </c>
      <c r="N5" s="2" t="str">
        <f>TEXT(WEEKDAY(DATE(AnnéeCalendrier,8,12),1),"jjj")</f>
        <v>lun</v>
      </c>
      <c r="O5" s="2" t="str">
        <f>TEXT(WEEKDAY(DATE(AnnéeCalendrier,8,13),1),"jjj")</f>
        <v>mar</v>
      </c>
      <c r="P5" s="2" t="str">
        <f>TEXT(WEEKDAY(DATE(AnnéeCalendrier,8,14),1),"jjj")</f>
        <v>mer</v>
      </c>
      <c r="Q5" s="2" t="str">
        <f>TEXT(WEEKDAY(DATE(AnnéeCalendrier,8,15),1),"jjj")</f>
        <v>jeu</v>
      </c>
      <c r="R5" s="2" t="str">
        <f>TEXT(WEEKDAY(DATE(AnnéeCalendrier,8,16),1),"jjj")</f>
        <v>ven</v>
      </c>
      <c r="S5" s="2" t="str">
        <f>TEXT(WEEKDAY(DATE(AnnéeCalendrier,8,17),1),"jjj")</f>
        <v>sam</v>
      </c>
      <c r="T5" s="2" t="str">
        <f>TEXT(WEEKDAY(DATE(AnnéeCalendrier,8,18),1),"jjj")</f>
        <v>dim</v>
      </c>
      <c r="U5" s="2" t="str">
        <f>TEXT(WEEKDAY(DATE(AnnéeCalendrier,8,19),1),"jjj")</f>
        <v>lun</v>
      </c>
      <c r="V5" s="2" t="str">
        <f>TEXT(WEEKDAY(DATE(AnnéeCalendrier,8,20),1),"jjj")</f>
        <v>mar</v>
      </c>
      <c r="W5" s="2" t="str">
        <f>TEXT(WEEKDAY(DATE(AnnéeCalendrier,8,21),1),"jjj")</f>
        <v>mer</v>
      </c>
      <c r="X5" s="2" t="str">
        <f>TEXT(WEEKDAY(DATE(AnnéeCalendrier,8,22),1),"jjj")</f>
        <v>jeu</v>
      </c>
      <c r="Y5" s="2" t="str">
        <f>TEXT(WEEKDAY(DATE(AnnéeCalendrier,8,23),1),"jjj")</f>
        <v>ven</v>
      </c>
      <c r="Z5" s="2" t="str">
        <f>TEXT(WEEKDAY(DATE(AnnéeCalendrier,8,24),1),"jjj")</f>
        <v>sam</v>
      </c>
      <c r="AA5" s="2" t="str">
        <f>TEXT(WEEKDAY(DATE(AnnéeCalendrier,8,25),1),"jjj")</f>
        <v>dim</v>
      </c>
      <c r="AB5" s="2" t="str">
        <f>TEXT(WEEKDAY(DATE(AnnéeCalendrier,8,26),1),"jjj")</f>
        <v>lun</v>
      </c>
      <c r="AC5" s="2" t="str">
        <f>TEXT(WEEKDAY(DATE(AnnéeCalendrier,8,27),1),"jjj")</f>
        <v>mar</v>
      </c>
      <c r="AD5" s="2" t="str">
        <f>TEXT(WEEKDAY(DATE(AnnéeCalendrier,8,28),1),"jjj")</f>
        <v>mer</v>
      </c>
      <c r="AE5" s="2" t="str">
        <f>TEXT(WEEKDAY(DATE(AnnéeCalendrier,8,29),1),"jjj")</f>
        <v>jeu</v>
      </c>
      <c r="AF5" s="2" t="str">
        <f>TEXT(WEEKDAY(DATE(AnnéeCalendrier,8,30),1),"jjj")</f>
        <v>ven</v>
      </c>
      <c r="AG5" s="2" t="str">
        <f>TEXT(WEEKDAY(DATE(AnnéeCalendrier,8,31),1),"jjj")</f>
        <v>sam</v>
      </c>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48</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COUNTA(Août[[#This Row],[1]:[31]])</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COUNTA(Août[[#This Row],[1]:[31]])</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COUNTA(Août[[#This Row],[1]:[31]])</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COUNTA(Août[[#This Row],[1]:[31]])</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COUNTA(Août[[#This Row],[1]:[31]])</f>
        <v>0</v>
      </c>
    </row>
    <row r="12" spans="2:34" ht="30" customHeight="1" x14ac:dyDescent="0.35">
      <c r="B12" s="18" t="str">
        <f>NomMois&amp;" Total"</f>
        <v>Août Total</v>
      </c>
      <c r="C12" s="11">
        <f>SUBTOTAL(103,Août[1])</f>
        <v>0</v>
      </c>
      <c r="D12" s="11">
        <f>SUBTOTAL(103,Août[2])</f>
        <v>0</v>
      </c>
      <c r="E12" s="11">
        <f>SUBTOTAL(103,Août[3])</f>
        <v>0</v>
      </c>
      <c r="F12" s="11">
        <f>SUBTOTAL(103,Août[4])</f>
        <v>0</v>
      </c>
      <c r="G12" s="11">
        <f>SUBTOTAL(103,Août[5])</f>
        <v>0</v>
      </c>
      <c r="H12" s="11">
        <f>SUBTOTAL(103,Août[6])</f>
        <v>0</v>
      </c>
      <c r="I12" s="11">
        <f>SUBTOTAL(103,Août[7])</f>
        <v>0</v>
      </c>
      <c r="J12" s="11">
        <f>SUBTOTAL(103,Août[8])</f>
        <v>0</v>
      </c>
      <c r="K12" s="11">
        <f>SUBTOTAL(103,Août[9])</f>
        <v>0</v>
      </c>
      <c r="L12" s="11">
        <f>SUBTOTAL(103,Août[10])</f>
        <v>0</v>
      </c>
      <c r="M12" s="11">
        <f>SUBTOTAL(103,Août[11])</f>
        <v>0</v>
      </c>
      <c r="N12" s="11">
        <f>SUBTOTAL(103,Août[12])</f>
        <v>0</v>
      </c>
      <c r="O12" s="11">
        <f>SUBTOTAL(103,Août[13])</f>
        <v>0</v>
      </c>
      <c r="P12" s="11">
        <f>SUBTOTAL(103,Août[14])</f>
        <v>0</v>
      </c>
      <c r="Q12" s="11">
        <f>SUBTOTAL(103,Août[15])</f>
        <v>0</v>
      </c>
      <c r="R12" s="11">
        <f>SUBTOTAL(103,Août[16])</f>
        <v>0</v>
      </c>
      <c r="S12" s="11">
        <f>SUBTOTAL(103,Août[17])</f>
        <v>0</v>
      </c>
      <c r="T12" s="11">
        <f>SUBTOTAL(103,Août[18])</f>
        <v>0</v>
      </c>
      <c r="U12" s="11">
        <f>SUBTOTAL(103,Août[19])</f>
        <v>0</v>
      </c>
      <c r="V12" s="11">
        <f>SUBTOTAL(103,Août[20])</f>
        <v>0</v>
      </c>
      <c r="W12" s="11">
        <f>SUBTOTAL(103,Août[21])</f>
        <v>0</v>
      </c>
      <c r="X12" s="11">
        <f>SUBTOTAL(103,Août[22])</f>
        <v>0</v>
      </c>
      <c r="Y12" s="11">
        <f>SUBTOTAL(103,Août[23])</f>
        <v>0</v>
      </c>
      <c r="Z12" s="11">
        <f>SUBTOTAL(103,Août[24])</f>
        <v>0</v>
      </c>
      <c r="AA12" s="11">
        <f>SUBTOTAL(103,Août[25])</f>
        <v>0</v>
      </c>
      <c r="AB12" s="11">
        <f>SUBTOTAL(103,Août[26])</f>
        <v>0</v>
      </c>
      <c r="AC12" s="11">
        <f>SUBTOTAL(103,Août[27])</f>
        <v>0</v>
      </c>
      <c r="AD12" s="11">
        <f>SUBTOTAL(103,Août[28])</f>
        <v>0</v>
      </c>
      <c r="AE12" s="11">
        <f>SUBTOTAL(103,Août[29])</f>
        <v>0</v>
      </c>
      <c r="AF12" s="11">
        <f>SUBTOTAL(103,Août[30])</f>
        <v>0</v>
      </c>
      <c r="AG12" s="11">
        <f>SUBTOTAL(103,Août[31])</f>
        <v>0</v>
      </c>
      <c r="AH12" s="11">
        <f>SUBTOTAL(109,Août[Total des jours])</f>
        <v>0</v>
      </c>
    </row>
  </sheetData>
  <mergeCells count="6">
    <mergeCell ref="C4:AG4"/>
    <mergeCell ref="D2:E2"/>
    <mergeCell ref="G2:I2"/>
    <mergeCell ref="K2:L2"/>
    <mergeCell ref="N2:Q2"/>
    <mergeCell ref="S2:V2"/>
  </mergeCells>
  <conditionalFormatting sqref="C7:AG11">
    <cfRule type="expression" priority="1" stopIfTrue="1">
      <formula>C7=""</formula>
    </cfRule>
    <cfRule type="expression" dxfId="57" priority="2" stopIfTrue="1">
      <formula>C7=CléPersonnalisée2</formula>
    </cfRule>
    <cfRule type="expression" dxfId="56" priority="3" stopIfTrue="1">
      <formula>C7=CléPersonnalisée1</formula>
    </cfRule>
    <cfRule type="expression" dxfId="55" priority="4" stopIfTrue="1">
      <formula>C7=CléMaladie</formula>
    </cfRule>
    <cfRule type="expression" dxfId="54" priority="5" stopIfTrue="1">
      <formula>C7=CléPersonnel</formula>
    </cfRule>
    <cfRule type="expression" dxfId="53"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{09900229-9536-43AB-AAE0-FC121BDECD61}</x14:id>
        </ext>
      </extLst>
    </cfRule>
  </conditionalFormatting>
  <dataValidations count="14">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700-000000000000}"/>
    <dataValidation allowBlank="1" showInputMessage="1" showErrorMessage="1" prompt="Année mise à jour automatiquement en fonction de l’année entrée dans la feuille de calcul Janvier" sqref="AH4" xr:uid="{00000000-0002-0000-0700-000001000000}"/>
    <dataValidation allowBlank="1" showInputMessage="1" showErrorMessage="1" prompt="Calcule automatiquement le nombre total de jours d’absence d’un employé durant ce mois dans cette colonne" sqref="AH6" xr:uid="{00000000-0002-0000-0700-000002000000}"/>
    <dataValidation allowBlank="1" showInputMessage="1" showErrorMessage="1" prompt="Suivez les absences du mois d’août dans cette feuille de calcul" sqref="A1" xr:uid="{00000000-0002-0000-0700-000003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700-000004000000}"/>
    <dataValidation allowBlank="1" showInputMessage="1" showErrorMessage="1" prompt="Le titre mis à jour automatiquement figure dans cette cellule. Pour modifier le titre, mettez à jour la cellule B1 de la feuille de calcul Janvier" sqref="B1" xr:uid="{00000000-0002-0000-0700-000005000000}"/>
    <dataValidation allowBlank="1" showInputMessage="1" showErrorMessage="1" prompt="La lettre « C » indique une absence pour cause de congé" sqref="C2" xr:uid="{00000000-0002-0000-0700-000006000000}"/>
    <dataValidation allowBlank="1" showInputMessage="1" showErrorMessage="1" prompt="La lettre « P » indique une absence pour motifs personnels" sqref="F2" xr:uid="{00000000-0002-0000-0700-000007000000}"/>
    <dataValidation allowBlank="1" showInputMessage="1" showErrorMessage="1" prompt="La lettre « M » indique une absence pour cause de maladie" sqref="J2" xr:uid="{00000000-0002-0000-0700-000008000000}"/>
    <dataValidation allowBlank="1" showInputMessage="1" showErrorMessage="1" prompt="Entrez une lettre et personnalisez l’étiquette à droite pour ajouter un élément de clé" sqref="M2 R2" xr:uid="{00000000-0002-0000-0700-000009000000}"/>
    <dataValidation allowBlank="1" showInputMessage="1" showErrorMessage="1" prompt="Entrez une étiquette pour décrire la clé personnalisée à gauche" sqref="N2 S2" xr:uid="{00000000-0002-0000-0700-00000A000000}"/>
    <dataValidation allowBlank="1" showInputMessage="1" showErrorMessage="1" prompt="Cette ligne définit les clés utilisées dans le tableau : Congé en C2, Personnel en F2 et Congé maladie en J2. Les cellules M2 et R2 sont personnalisables" sqref="B2" xr:uid="{00000000-0002-0000-0700-00000B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700-00000C000000}"/>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7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09900229-9536-43AB-AAE0-FC121BDECD61}">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E000000}">
          <x14:formula1>
            <xm:f>'Noms des employés'!$B$4:$B$8</xm:f>
          </x14:formula1>
          <xm:sqref>B7:B11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499984740745262"/>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60</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TEXT(WEEKDAY(DATE(AnnéeCalendrier,9,1),1),"jjj")</f>
        <v>dim</v>
      </c>
      <c r="D5" s="2" t="str">
        <f>TEXT(WEEKDAY(DATE(AnnéeCalendrier,9,2),1),"jjj")</f>
        <v>lun</v>
      </c>
      <c r="E5" s="2" t="str">
        <f>TEXT(WEEKDAY(DATE(AnnéeCalendrier,9,3),1),"jjj")</f>
        <v>mar</v>
      </c>
      <c r="F5" s="2" t="str">
        <f>TEXT(WEEKDAY(DATE(AnnéeCalendrier,9,4),1),"jjj")</f>
        <v>mer</v>
      </c>
      <c r="G5" s="2" t="str">
        <f>TEXT(WEEKDAY(DATE(AnnéeCalendrier,9,5),1),"jjj")</f>
        <v>jeu</v>
      </c>
      <c r="H5" s="2" t="str">
        <f>TEXT(WEEKDAY(DATE(AnnéeCalendrier,9,6),1),"jjj")</f>
        <v>ven</v>
      </c>
      <c r="I5" s="2" t="str">
        <f>TEXT(WEEKDAY(DATE(AnnéeCalendrier,9,7),1),"jjj")</f>
        <v>sam</v>
      </c>
      <c r="J5" s="2" t="str">
        <f>TEXT(WEEKDAY(DATE(AnnéeCalendrier,9,8),1),"jjj")</f>
        <v>dim</v>
      </c>
      <c r="K5" s="2" t="str">
        <f>TEXT(WEEKDAY(DATE(AnnéeCalendrier,9,9),1),"jjj")</f>
        <v>lun</v>
      </c>
      <c r="L5" s="2" t="str">
        <f>TEXT(WEEKDAY(DATE(AnnéeCalendrier,9,10),1),"jjj")</f>
        <v>mar</v>
      </c>
      <c r="M5" s="2" t="str">
        <f>TEXT(WEEKDAY(DATE(AnnéeCalendrier,9,11),1),"jjj")</f>
        <v>mer</v>
      </c>
      <c r="N5" s="2" t="str">
        <f>TEXT(WEEKDAY(DATE(AnnéeCalendrier,9,12),1),"jjj")</f>
        <v>jeu</v>
      </c>
      <c r="O5" s="2" t="str">
        <f>TEXT(WEEKDAY(DATE(AnnéeCalendrier,9,13),1),"jjj")</f>
        <v>ven</v>
      </c>
      <c r="P5" s="2" t="str">
        <f>TEXT(WEEKDAY(DATE(AnnéeCalendrier,9,14),1),"jjj")</f>
        <v>sam</v>
      </c>
      <c r="Q5" s="2" t="str">
        <f>TEXT(WEEKDAY(DATE(AnnéeCalendrier,9,15),1),"jjj")</f>
        <v>dim</v>
      </c>
      <c r="R5" s="2" t="str">
        <f>TEXT(WEEKDAY(DATE(AnnéeCalendrier,9,16),1),"jjj")</f>
        <v>lun</v>
      </c>
      <c r="S5" s="2" t="str">
        <f>TEXT(WEEKDAY(DATE(AnnéeCalendrier,9,17),1),"jjj")</f>
        <v>mar</v>
      </c>
      <c r="T5" s="2" t="str">
        <f>TEXT(WEEKDAY(DATE(AnnéeCalendrier,9,18),1),"jjj")</f>
        <v>mer</v>
      </c>
      <c r="U5" s="2" t="str">
        <f>TEXT(WEEKDAY(DATE(AnnéeCalendrier,9,19),1),"jjj")</f>
        <v>jeu</v>
      </c>
      <c r="V5" s="2" t="str">
        <f>TEXT(WEEKDAY(DATE(AnnéeCalendrier,9,20),1),"jjj")</f>
        <v>ven</v>
      </c>
      <c r="W5" s="2" t="str">
        <f>TEXT(WEEKDAY(DATE(AnnéeCalendrier,9,21),1),"jjj")</f>
        <v>sam</v>
      </c>
      <c r="X5" s="2" t="str">
        <f>TEXT(WEEKDAY(DATE(AnnéeCalendrier,9,22),1),"jjj")</f>
        <v>dim</v>
      </c>
      <c r="Y5" s="2" t="str">
        <f>TEXT(WEEKDAY(DATE(AnnéeCalendrier,9,23),1),"jjj")</f>
        <v>lun</v>
      </c>
      <c r="Z5" s="2" t="str">
        <f>TEXT(WEEKDAY(DATE(AnnéeCalendrier,9,24),1),"jjj")</f>
        <v>mar</v>
      </c>
      <c r="AA5" s="2" t="str">
        <f>TEXT(WEEKDAY(DATE(AnnéeCalendrier,9,25),1),"jjj")</f>
        <v>mer</v>
      </c>
      <c r="AB5" s="2" t="str">
        <f>TEXT(WEEKDAY(DATE(AnnéeCalendrier,9,26),1),"jjj")</f>
        <v>jeu</v>
      </c>
      <c r="AC5" s="2" t="str">
        <f>TEXT(WEEKDAY(DATE(AnnéeCalendrier,9,27),1),"jjj")</f>
        <v>ven</v>
      </c>
      <c r="AD5" s="2" t="str">
        <f>TEXT(WEEKDAY(DATE(AnnéeCalendrier,9,28),1),"jjj")</f>
        <v>sam</v>
      </c>
      <c r="AE5" s="2" t="str">
        <f>TEXT(WEEKDAY(DATE(AnnéeCalendrier,9,29),1),"jjj")</f>
        <v>dim</v>
      </c>
      <c r="AF5" s="2" t="str">
        <f>TEXT(WEEKDAY(DATE(AnnéeCalendrier,9,30),1),"jjj")</f>
        <v>lun</v>
      </c>
      <c r="AG5" s="2"/>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52</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COUNTA(Septembre[[#This Row],[1]:[30]])</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COUNTA(Septembre[[#This Row],[1]:[30]])</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COUNTA(Septembre[[#This Row],[1]:[30]])</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COUNTA(Septembre[[#This Row],[1]:[30]])</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COUNTA(Septembre[[#This Row],[1]:[30]])</f>
        <v>0</v>
      </c>
    </row>
    <row r="12" spans="2:34" ht="30" customHeight="1" x14ac:dyDescent="0.35">
      <c r="B12" s="18" t="str">
        <f>NomMois&amp;" Total"</f>
        <v>Septembre Total</v>
      </c>
      <c r="C12" s="11">
        <f>SUBTOTAL(103,Septembre[1])</f>
        <v>0</v>
      </c>
      <c r="D12" s="11">
        <f>SUBTOTAL(103,Septembre[2])</f>
        <v>0</v>
      </c>
      <c r="E12" s="11">
        <f>SUBTOTAL(103,Septembre[3])</f>
        <v>0</v>
      </c>
      <c r="F12" s="11">
        <f>SUBTOTAL(103,Septembre[4])</f>
        <v>0</v>
      </c>
      <c r="G12" s="11">
        <f>SUBTOTAL(103,Septembre[5])</f>
        <v>0</v>
      </c>
      <c r="H12" s="11">
        <f>SUBTOTAL(103,Septembre[6])</f>
        <v>0</v>
      </c>
      <c r="I12" s="11">
        <f>SUBTOTAL(103,Septembre[7])</f>
        <v>0</v>
      </c>
      <c r="J12" s="11">
        <f>SUBTOTAL(103,Septembre[8])</f>
        <v>0</v>
      </c>
      <c r="K12" s="11">
        <f>SUBTOTAL(103,Septembre[9])</f>
        <v>0</v>
      </c>
      <c r="L12" s="11">
        <f>SUBTOTAL(103,Septembre[10])</f>
        <v>0</v>
      </c>
      <c r="M12" s="11">
        <f>SUBTOTAL(103,Septembre[11])</f>
        <v>0</v>
      </c>
      <c r="N12" s="11">
        <f>SUBTOTAL(103,Septembre[12])</f>
        <v>0</v>
      </c>
      <c r="O12" s="11">
        <f>SUBTOTAL(103,Septembre[13])</f>
        <v>0</v>
      </c>
      <c r="P12" s="11">
        <f>SUBTOTAL(103,Septembre[14])</f>
        <v>0</v>
      </c>
      <c r="Q12" s="11">
        <f>SUBTOTAL(103,Septembre[15])</f>
        <v>0</v>
      </c>
      <c r="R12" s="11">
        <f>SUBTOTAL(103,Septembre[16])</f>
        <v>0</v>
      </c>
      <c r="S12" s="11">
        <f>SUBTOTAL(103,Septembre[17])</f>
        <v>0</v>
      </c>
      <c r="T12" s="11">
        <f>SUBTOTAL(103,Septembre[18])</f>
        <v>0</v>
      </c>
      <c r="U12" s="11">
        <f>SUBTOTAL(103,Septembre[19])</f>
        <v>0</v>
      </c>
      <c r="V12" s="11">
        <f>SUBTOTAL(103,Septembre[20])</f>
        <v>0</v>
      </c>
      <c r="W12" s="11">
        <f>SUBTOTAL(103,Septembre[21])</f>
        <v>0</v>
      </c>
      <c r="X12" s="11">
        <f>SUBTOTAL(103,Septembre[22])</f>
        <v>0</v>
      </c>
      <c r="Y12" s="11">
        <f>SUBTOTAL(103,Septembre[23])</f>
        <v>0</v>
      </c>
      <c r="Z12" s="11">
        <f>SUBTOTAL(103,Septembre[24])</f>
        <v>0</v>
      </c>
      <c r="AA12" s="11">
        <f>SUBTOTAL(103,Septembre[25])</f>
        <v>0</v>
      </c>
      <c r="AB12" s="11">
        <f>SUBTOTAL(103,Septembre[26])</f>
        <v>0</v>
      </c>
      <c r="AC12" s="11">
        <f>SUBTOTAL(103,Septembre[27])</f>
        <v>0</v>
      </c>
      <c r="AD12" s="11">
        <f>SUBTOTAL(103,Septembre[28])</f>
        <v>0</v>
      </c>
      <c r="AE12" s="11">
        <f>SUBTOTAL(103,Septembre[29])</f>
        <v>0</v>
      </c>
      <c r="AF12" s="11">
        <f>SUBTOTAL(103,Septembre[30])</f>
        <v>0</v>
      </c>
      <c r="AG12" s="11">
        <f>SUBTOTAL(103,Septembre[[ ]])</f>
        <v>0</v>
      </c>
      <c r="AH12" s="11">
        <f>SUBTOTAL(109,Septembre[Total des jours])</f>
        <v>0</v>
      </c>
    </row>
  </sheetData>
  <mergeCells count="6">
    <mergeCell ref="C4:AG4"/>
    <mergeCell ref="D2:E2"/>
    <mergeCell ref="G2:I2"/>
    <mergeCell ref="K2:L2"/>
    <mergeCell ref="N2:Q2"/>
    <mergeCell ref="S2:V2"/>
  </mergeCells>
  <conditionalFormatting sqref="C7:AG11">
    <cfRule type="expression" priority="1" stopIfTrue="1">
      <formula>C7=""</formula>
    </cfRule>
    <cfRule type="expression" dxfId="52" priority="2" stopIfTrue="1">
      <formula>C7=CléPersonnalisée2</formula>
    </cfRule>
    <cfRule type="expression" dxfId="51" priority="3" stopIfTrue="1">
      <formula>C7=CléPersonnalisée1</formula>
    </cfRule>
    <cfRule type="expression" dxfId="50" priority="4" stopIfTrue="1">
      <formula>C7=CléMaladie</formula>
    </cfRule>
    <cfRule type="expression" dxfId="49" priority="5" stopIfTrue="1">
      <formula>C7=CléPersonnel</formula>
    </cfRule>
    <cfRule type="expression" dxfId="48"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{1A021984-06A1-41D9-90D2-8C16E885020B}</x14:id>
        </ext>
      </extLst>
    </cfRule>
  </conditionalFormatting>
  <dataValidations count="14">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800-000000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800-000001000000}"/>
    <dataValidation allowBlank="1" showInputMessage="1" showErrorMessage="1" prompt="Cette ligne définit les clés utilisées dans le tableau : Congé en C2, Personnel en F2 et Congé maladie en J2. Les cellules M2 et R2 sont personnalisables" sqref="B2" xr:uid="{00000000-0002-0000-0800-000002000000}"/>
    <dataValidation allowBlank="1" showInputMessage="1" showErrorMessage="1" prompt="Entrez une étiquette pour décrire la clé personnalisée à gauche" sqref="N2 S2" xr:uid="{00000000-0002-0000-0800-000003000000}"/>
    <dataValidation allowBlank="1" showInputMessage="1" showErrorMessage="1" prompt="Entrez une lettre et personnalisez l’étiquette à droite pour ajouter un élément de clé" sqref="M2 R2" xr:uid="{00000000-0002-0000-0800-000004000000}"/>
    <dataValidation allowBlank="1" showInputMessage="1" showErrorMessage="1" prompt="La lettre « M » indique une absence pour cause de maladie" sqref="J2" xr:uid="{00000000-0002-0000-0800-000005000000}"/>
    <dataValidation allowBlank="1" showInputMessage="1" showErrorMessage="1" prompt="La lettre « P » indique une absence pour motifs personnels" sqref="F2" xr:uid="{00000000-0002-0000-0800-000006000000}"/>
    <dataValidation allowBlank="1" showInputMessage="1" showErrorMessage="1" prompt="La lettre « C » indique une absence pour cause de congé" sqref="C2" xr:uid="{00000000-0002-0000-0800-000007000000}"/>
    <dataValidation allowBlank="1" showInputMessage="1" showErrorMessage="1" prompt="Le titre mis à jour automatiquement figure dans cette cellule. Pour modifier le titre, mettez à jour la cellule B1 de la feuille de calcul Janvier" sqref="B1" xr:uid="{00000000-0002-0000-0800-000008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800-000009000000}"/>
    <dataValidation allowBlank="1" showInputMessage="1" showErrorMessage="1" prompt="Suivez les absences du mois de septembre dans cette feuille de calcul" sqref="A1" xr:uid="{00000000-0002-0000-0800-00000A000000}"/>
    <dataValidation allowBlank="1" showInputMessage="1" showErrorMessage="1" prompt="Calcule automatiquement le nombre total de jours d’absence d’un employé durant ce mois dans cette colonne" sqref="AH6" xr:uid="{00000000-0002-0000-0800-00000B000000}"/>
    <dataValidation allowBlank="1" showInputMessage="1" showErrorMessage="1" prompt="Année mise à jour automatiquement en fonction de l’année entrée dans la feuille de calcul Janvier" sqref="AH4" xr:uid="{00000000-0002-0000-0800-00000C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8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1A021984-06A1-41D9-90D2-8C16E885020B}">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E000000}">
          <x14:formula1>
            <xm:f>'Noms des employés'!$B$4:$B$8</xm:f>
          </x14:formula1>
          <xm:sqref>B7:B11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tint="-0.249977111117893"/>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61</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TEXT(WEEKDAY(DATE(AnnéeCalendrier,10,1),1),"jjj")</f>
        <v>mar</v>
      </c>
      <c r="D5" s="2" t="str">
        <f>TEXT(WEEKDAY(DATE(AnnéeCalendrier,10,2),1),"jjj")</f>
        <v>mer</v>
      </c>
      <c r="E5" s="2" t="str">
        <f>TEXT(WEEKDAY(DATE(AnnéeCalendrier,10,3),1),"jjj")</f>
        <v>jeu</v>
      </c>
      <c r="F5" s="2" t="str">
        <f>TEXT(WEEKDAY(DATE(AnnéeCalendrier,10,4),1),"jjj")</f>
        <v>ven</v>
      </c>
      <c r="G5" s="2" t="str">
        <f>TEXT(WEEKDAY(DATE(AnnéeCalendrier,10,5),1),"jjj")</f>
        <v>sam</v>
      </c>
      <c r="H5" s="2" t="str">
        <f>TEXT(WEEKDAY(DATE(AnnéeCalendrier,10,6),1),"jjj")</f>
        <v>dim</v>
      </c>
      <c r="I5" s="2" t="str">
        <f>TEXT(WEEKDAY(DATE(AnnéeCalendrier,10,7),1),"jjj")</f>
        <v>lun</v>
      </c>
      <c r="J5" s="2" t="str">
        <f>TEXT(WEEKDAY(DATE(AnnéeCalendrier,10,8),1),"jjj")</f>
        <v>mar</v>
      </c>
      <c r="K5" s="2" t="str">
        <f>TEXT(WEEKDAY(DATE(AnnéeCalendrier,10,9),1),"jjj")</f>
        <v>mer</v>
      </c>
      <c r="L5" s="2" t="str">
        <f>TEXT(WEEKDAY(DATE(AnnéeCalendrier,10,10),1),"jjj")</f>
        <v>jeu</v>
      </c>
      <c r="M5" s="2" t="str">
        <f>TEXT(WEEKDAY(DATE(AnnéeCalendrier,10,11),1),"jjj")</f>
        <v>ven</v>
      </c>
      <c r="N5" s="2" t="str">
        <f>TEXT(WEEKDAY(DATE(AnnéeCalendrier,10,12),1),"jjj")</f>
        <v>sam</v>
      </c>
      <c r="O5" s="2" t="str">
        <f>TEXT(WEEKDAY(DATE(AnnéeCalendrier,10,13),1),"jjj")</f>
        <v>dim</v>
      </c>
      <c r="P5" s="2" t="str">
        <f>TEXT(WEEKDAY(DATE(AnnéeCalendrier,10,14),1),"jjj")</f>
        <v>lun</v>
      </c>
      <c r="Q5" s="2" t="str">
        <f>TEXT(WEEKDAY(DATE(AnnéeCalendrier,10,15),1),"jjj")</f>
        <v>mar</v>
      </c>
      <c r="R5" s="2" t="str">
        <f>TEXT(WEEKDAY(DATE(AnnéeCalendrier,10,16),1),"jjj")</f>
        <v>mer</v>
      </c>
      <c r="S5" s="2" t="str">
        <f>TEXT(WEEKDAY(DATE(AnnéeCalendrier,10,17),1),"jjj")</f>
        <v>jeu</v>
      </c>
      <c r="T5" s="2" t="str">
        <f>TEXT(WEEKDAY(DATE(AnnéeCalendrier,10,18),1),"jjj")</f>
        <v>ven</v>
      </c>
      <c r="U5" s="2" t="str">
        <f>TEXT(WEEKDAY(DATE(AnnéeCalendrier,10,19),1),"jjj")</f>
        <v>sam</v>
      </c>
      <c r="V5" s="2" t="str">
        <f>TEXT(WEEKDAY(DATE(AnnéeCalendrier,10,20),1),"jjj")</f>
        <v>dim</v>
      </c>
      <c r="W5" s="2" t="str">
        <f>TEXT(WEEKDAY(DATE(AnnéeCalendrier,10,21),1),"jjj")</f>
        <v>lun</v>
      </c>
      <c r="X5" s="2" t="str">
        <f>TEXT(WEEKDAY(DATE(AnnéeCalendrier,10,22),1),"jjj")</f>
        <v>mar</v>
      </c>
      <c r="Y5" s="2" t="str">
        <f>TEXT(WEEKDAY(DATE(AnnéeCalendrier,10,23),1),"jjj")</f>
        <v>mer</v>
      </c>
      <c r="Z5" s="2" t="str">
        <f>TEXT(WEEKDAY(DATE(AnnéeCalendrier,10,24),1),"jjj")</f>
        <v>jeu</v>
      </c>
      <c r="AA5" s="2" t="str">
        <f>TEXT(WEEKDAY(DATE(AnnéeCalendrier,10,25),1),"jjj")</f>
        <v>ven</v>
      </c>
      <c r="AB5" s="2" t="str">
        <f>TEXT(WEEKDAY(DATE(AnnéeCalendrier,10,26),1),"jjj")</f>
        <v>sam</v>
      </c>
      <c r="AC5" s="2" t="str">
        <f>TEXT(WEEKDAY(DATE(AnnéeCalendrier,10,27),1),"jjj")</f>
        <v>dim</v>
      </c>
      <c r="AD5" s="2" t="str">
        <f>TEXT(WEEKDAY(DATE(AnnéeCalendrier,10,28),1),"jjj")</f>
        <v>lun</v>
      </c>
      <c r="AE5" s="2" t="str">
        <f>TEXT(WEEKDAY(DATE(AnnéeCalendrier,10,29),1),"jjj")</f>
        <v>mar</v>
      </c>
      <c r="AF5" s="2" t="str">
        <f>TEXT(WEEKDAY(DATE(AnnéeCalendrier,10,30),1),"jjj")</f>
        <v>mer</v>
      </c>
      <c r="AG5" s="2" t="str">
        <f>TEXT(WEEKDAY(DATE(AnnéeCalendrier,10,31),1),"jjj")</f>
        <v>jeu</v>
      </c>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48</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COUNTA(Octobre[[#This Row],[1]:[31]])</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COUNTA(Octobre[[#This Row],[1]:[31]])</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COUNTA(Octobre[[#This Row],[1]:[31]])</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COUNTA(Octobre[[#This Row],[1]:[31]])</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COUNTA(Octobre[[#This Row],[1]:[31]])</f>
        <v>0</v>
      </c>
    </row>
    <row r="12" spans="2:34" ht="30" customHeight="1" x14ac:dyDescent="0.35">
      <c r="B12" s="18" t="str">
        <f>NomMois&amp;" Total"</f>
        <v>Octobre Total</v>
      </c>
      <c r="C12" s="11">
        <f>SUBTOTAL(103,Octobre[1])</f>
        <v>0</v>
      </c>
      <c r="D12" s="11">
        <f>SUBTOTAL(103,Octobre[2])</f>
        <v>0</v>
      </c>
      <c r="E12" s="11">
        <f>SUBTOTAL(103,Octobre[3])</f>
        <v>0</v>
      </c>
      <c r="F12" s="11">
        <f>SUBTOTAL(103,Octobre[4])</f>
        <v>0</v>
      </c>
      <c r="G12" s="11">
        <f>SUBTOTAL(103,Octobre[5])</f>
        <v>0</v>
      </c>
      <c r="H12" s="11">
        <f>SUBTOTAL(103,Octobre[6])</f>
        <v>0</v>
      </c>
      <c r="I12" s="11">
        <f>SUBTOTAL(103,Octobre[7])</f>
        <v>0</v>
      </c>
      <c r="J12" s="11">
        <f>SUBTOTAL(103,Octobre[8])</f>
        <v>0</v>
      </c>
      <c r="K12" s="11">
        <f>SUBTOTAL(103,Octobre[9])</f>
        <v>0</v>
      </c>
      <c r="L12" s="11">
        <f>SUBTOTAL(103,Octobre[10])</f>
        <v>0</v>
      </c>
      <c r="M12" s="11">
        <f>SUBTOTAL(103,Octobre[11])</f>
        <v>0</v>
      </c>
      <c r="N12" s="11">
        <f>SUBTOTAL(103,Octobre[12])</f>
        <v>0</v>
      </c>
      <c r="O12" s="11">
        <f>SUBTOTAL(103,Octobre[13])</f>
        <v>0</v>
      </c>
      <c r="P12" s="11">
        <f>SUBTOTAL(103,Octobre[14])</f>
        <v>0</v>
      </c>
      <c r="Q12" s="11">
        <f>SUBTOTAL(103,Octobre[15])</f>
        <v>0</v>
      </c>
      <c r="R12" s="11">
        <f>SUBTOTAL(103,Octobre[16])</f>
        <v>0</v>
      </c>
      <c r="S12" s="11">
        <f>SUBTOTAL(103,Octobre[17])</f>
        <v>0</v>
      </c>
      <c r="T12" s="11">
        <f>SUBTOTAL(103,Octobre[18])</f>
        <v>0</v>
      </c>
      <c r="U12" s="11">
        <f>SUBTOTAL(103,Octobre[19])</f>
        <v>0</v>
      </c>
      <c r="V12" s="11">
        <f>SUBTOTAL(103,Octobre[20])</f>
        <v>0</v>
      </c>
      <c r="W12" s="11">
        <f>SUBTOTAL(103,Octobre[21])</f>
        <v>0</v>
      </c>
      <c r="X12" s="11">
        <f>SUBTOTAL(103,Octobre[22])</f>
        <v>0</v>
      </c>
      <c r="Y12" s="11">
        <f>SUBTOTAL(103,Octobre[23])</f>
        <v>0</v>
      </c>
      <c r="Z12" s="11">
        <f>SUBTOTAL(103,Octobre[24])</f>
        <v>0</v>
      </c>
      <c r="AA12" s="11">
        <f>SUBTOTAL(103,Octobre[25])</f>
        <v>0</v>
      </c>
      <c r="AB12" s="11">
        <f>SUBTOTAL(103,Octobre[26])</f>
        <v>0</v>
      </c>
      <c r="AC12" s="11">
        <f>SUBTOTAL(103,Octobre[27])</f>
        <v>0</v>
      </c>
      <c r="AD12" s="11">
        <f>SUBTOTAL(103,Octobre[28])</f>
        <v>0</v>
      </c>
      <c r="AE12" s="11">
        <f>SUBTOTAL(103,Octobre[29])</f>
        <v>0</v>
      </c>
      <c r="AF12" s="11">
        <f>SUBTOTAL(103,Octobre[30])</f>
        <v>0</v>
      </c>
      <c r="AG12" s="11">
        <f>SUBTOTAL(103,Octobre[31])</f>
        <v>0</v>
      </c>
      <c r="AH12" s="11">
        <f>SUBTOTAL(109,Octobre[Total des jours])</f>
        <v>0</v>
      </c>
    </row>
  </sheetData>
  <mergeCells count="6">
    <mergeCell ref="C4:AG4"/>
    <mergeCell ref="D2:E2"/>
    <mergeCell ref="G2:I2"/>
    <mergeCell ref="K2:L2"/>
    <mergeCell ref="N2:Q2"/>
    <mergeCell ref="S2:V2"/>
  </mergeCells>
  <conditionalFormatting sqref="C7:AG11">
    <cfRule type="expression" priority="1" stopIfTrue="1">
      <formula>C7=""</formula>
    </cfRule>
    <cfRule type="expression" dxfId="47" priority="2" stopIfTrue="1">
      <formula>C7=CléPersonnalisée2</formula>
    </cfRule>
    <cfRule type="expression" dxfId="46" priority="3" stopIfTrue="1">
      <formula>C7=CléPersonnalisée1</formula>
    </cfRule>
    <cfRule type="expression" dxfId="45" priority="4" stopIfTrue="1">
      <formula>C7=CléMaladie</formula>
    </cfRule>
    <cfRule type="expression" dxfId="44" priority="5" stopIfTrue="1">
      <formula>C7=CléPersonnel</formula>
    </cfRule>
    <cfRule type="expression" dxfId="43"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{F32A08EA-50E8-4B5F-AB1F-5A7739FBC16C}</x14:id>
        </ext>
      </extLst>
    </cfRule>
  </conditionalFormatting>
  <dataValidations count="14">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900-000000000000}"/>
    <dataValidation allowBlank="1" showInputMessage="1" showErrorMessage="1" prompt="Année mise à jour automatiquement en fonction de l’année entrée dans la feuille de calcul Janvier" sqref="AH4" xr:uid="{00000000-0002-0000-0900-000001000000}"/>
    <dataValidation allowBlank="1" showInputMessage="1" showErrorMessage="1" prompt="Calcule automatiquement le nombre total de jours d’absence d’un employé durant ce mois dans cette colonne" sqref="AH6" xr:uid="{00000000-0002-0000-0900-000002000000}"/>
    <dataValidation allowBlank="1" showInputMessage="1" showErrorMessage="1" prompt="Suivez les absences du mois d’octobre dans cette feuille de calcul" sqref="A1" xr:uid="{00000000-0002-0000-0900-000003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900-000004000000}"/>
    <dataValidation allowBlank="1" showInputMessage="1" showErrorMessage="1" prompt="Le titre mis à jour automatiquement figure dans cette cellule. Pour modifier le titre, mettez à jour la cellule B1 de la feuille de calcul Janvier" sqref="B1" xr:uid="{00000000-0002-0000-0900-000005000000}"/>
    <dataValidation allowBlank="1" showInputMessage="1" showErrorMessage="1" prompt="La lettre « C » indique une absence pour cause de congé" sqref="C2" xr:uid="{00000000-0002-0000-0900-000006000000}"/>
    <dataValidation allowBlank="1" showInputMessage="1" showErrorMessage="1" prompt="La lettre « P » indique une absence pour motifs personnels" sqref="F2" xr:uid="{00000000-0002-0000-0900-000007000000}"/>
    <dataValidation allowBlank="1" showInputMessage="1" showErrorMessage="1" prompt="La lettre « M » indique une absence pour cause de maladie" sqref="J2" xr:uid="{00000000-0002-0000-0900-000008000000}"/>
    <dataValidation allowBlank="1" showInputMessage="1" showErrorMessage="1" prompt="Entrez une lettre et personnalisez l’étiquette à droite pour ajouter un élément de clé" sqref="M2 R2" xr:uid="{00000000-0002-0000-0900-000009000000}"/>
    <dataValidation allowBlank="1" showInputMessage="1" showErrorMessage="1" prompt="Entrez une étiquette pour décrire la clé personnalisée à gauche" sqref="N2 S2" xr:uid="{00000000-0002-0000-0900-00000A000000}"/>
    <dataValidation allowBlank="1" showInputMessage="1" showErrorMessage="1" prompt="Cette ligne définit les clés utilisées dans le tableau : Congé en C2, Personnel en F2 et Congé maladie en J2. Les cellules M2 et R2 sont personnalisables" sqref="B2" xr:uid="{00000000-0002-0000-0900-00000B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900-00000C000000}"/>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9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F32A08EA-50E8-4B5F-AB1F-5A7739FBC16C}">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E000000}">
          <x14:formula1>
            <xm:f>'Noms des employés'!$B$4:$B$8</xm:f>
          </x14:formula1>
          <xm:sqref>B7:B11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tint="-0.249977111117893"/>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62</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TEXT(WEEKDAY(DATE(AnnéeCalendrier,11,1),1),"jjj")</f>
        <v>ven</v>
      </c>
      <c r="D5" s="2" t="str">
        <f>TEXT(WEEKDAY(DATE(AnnéeCalendrier,11,2),1),"jjj")</f>
        <v>sam</v>
      </c>
      <c r="E5" s="2" t="str">
        <f>TEXT(WEEKDAY(DATE(AnnéeCalendrier,11,3),1),"jjj")</f>
        <v>dim</v>
      </c>
      <c r="F5" s="2" t="str">
        <f>TEXT(WEEKDAY(DATE(AnnéeCalendrier,11,4),1),"jjj")</f>
        <v>lun</v>
      </c>
      <c r="G5" s="2" t="str">
        <f>TEXT(WEEKDAY(DATE(AnnéeCalendrier,11,5),1),"jjj")</f>
        <v>mar</v>
      </c>
      <c r="H5" s="2" t="str">
        <f>TEXT(WEEKDAY(DATE(AnnéeCalendrier,11,6),1),"jjj")</f>
        <v>mer</v>
      </c>
      <c r="I5" s="2" t="str">
        <f>TEXT(WEEKDAY(DATE(AnnéeCalendrier,11,7),1),"jjj")</f>
        <v>jeu</v>
      </c>
      <c r="J5" s="2" t="str">
        <f>TEXT(WEEKDAY(DATE(AnnéeCalendrier,11,8),1),"jjj")</f>
        <v>ven</v>
      </c>
      <c r="K5" s="2" t="str">
        <f>TEXT(WEEKDAY(DATE(AnnéeCalendrier,11,9),1),"jjj")</f>
        <v>sam</v>
      </c>
      <c r="L5" s="2" t="str">
        <f>TEXT(WEEKDAY(DATE(AnnéeCalendrier,11,10),1),"jjj")</f>
        <v>dim</v>
      </c>
      <c r="M5" s="2" t="str">
        <f>TEXT(WEEKDAY(DATE(AnnéeCalendrier,11,11),1),"jjj")</f>
        <v>lun</v>
      </c>
      <c r="N5" s="2" t="str">
        <f>TEXT(WEEKDAY(DATE(AnnéeCalendrier,11,12),1),"jjj")</f>
        <v>mar</v>
      </c>
      <c r="O5" s="2" t="str">
        <f>TEXT(WEEKDAY(DATE(AnnéeCalendrier,11,13),1),"jjj")</f>
        <v>mer</v>
      </c>
      <c r="P5" s="2" t="str">
        <f>TEXT(WEEKDAY(DATE(AnnéeCalendrier,11,14),1),"jjj")</f>
        <v>jeu</v>
      </c>
      <c r="Q5" s="2" t="str">
        <f>TEXT(WEEKDAY(DATE(AnnéeCalendrier,11,15),1),"jjj")</f>
        <v>ven</v>
      </c>
      <c r="R5" s="2" t="str">
        <f>TEXT(WEEKDAY(DATE(AnnéeCalendrier,11,16),1),"jjj")</f>
        <v>sam</v>
      </c>
      <c r="S5" s="2" t="str">
        <f>TEXT(WEEKDAY(DATE(AnnéeCalendrier,11,17),1),"jjj")</f>
        <v>dim</v>
      </c>
      <c r="T5" s="2" t="str">
        <f>TEXT(WEEKDAY(DATE(AnnéeCalendrier,11,18),1),"jjj")</f>
        <v>lun</v>
      </c>
      <c r="U5" s="2" t="str">
        <f>TEXT(WEEKDAY(DATE(AnnéeCalendrier,11,19),1),"jjj")</f>
        <v>mar</v>
      </c>
      <c r="V5" s="2" t="str">
        <f>TEXT(WEEKDAY(DATE(AnnéeCalendrier,11,20),1),"jjj")</f>
        <v>mer</v>
      </c>
      <c r="W5" s="2" t="str">
        <f>TEXT(WEEKDAY(DATE(AnnéeCalendrier,11,21),1),"jjj")</f>
        <v>jeu</v>
      </c>
      <c r="X5" s="2" t="str">
        <f>TEXT(WEEKDAY(DATE(AnnéeCalendrier,11,22),1),"jjj")</f>
        <v>ven</v>
      </c>
      <c r="Y5" s="2" t="str">
        <f>TEXT(WEEKDAY(DATE(AnnéeCalendrier,11,23),1),"jjj")</f>
        <v>sam</v>
      </c>
      <c r="Z5" s="2" t="str">
        <f>TEXT(WEEKDAY(DATE(AnnéeCalendrier,11,24),1),"jjj")</f>
        <v>dim</v>
      </c>
      <c r="AA5" s="2" t="str">
        <f>TEXT(WEEKDAY(DATE(AnnéeCalendrier,11,25),1),"jjj")</f>
        <v>lun</v>
      </c>
      <c r="AB5" s="2" t="str">
        <f>TEXT(WEEKDAY(DATE(AnnéeCalendrier,11,26),1),"jjj")</f>
        <v>mar</v>
      </c>
      <c r="AC5" s="2" t="str">
        <f>TEXT(WEEKDAY(DATE(AnnéeCalendrier,11,27),1),"jjj")</f>
        <v>mer</v>
      </c>
      <c r="AD5" s="2" t="str">
        <f>TEXT(WEEKDAY(DATE(AnnéeCalendrier,11,28),1),"jjj")</f>
        <v>jeu</v>
      </c>
      <c r="AE5" s="2" t="str">
        <f>TEXT(WEEKDAY(DATE(AnnéeCalendrier,11,29),1),"jjj")</f>
        <v>ven</v>
      </c>
      <c r="AF5" s="2" t="str">
        <f>TEXT(WEEKDAY(DATE(AnnéeCalendrier,11,30),1),"jjj")</f>
        <v>sam</v>
      </c>
      <c r="AG5" s="2"/>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52</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COUNTA(Novembre[[#This Row],[1]:[30]])</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COUNTA(Novembre[[#This Row],[1]:[30]])</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COUNTA(Novembre[[#This Row],[1]:[30]])</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COUNTA(Novembre[[#This Row],[1]:[30]])</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COUNTA(Novembre[[#This Row],[1]:[30]])</f>
        <v>0</v>
      </c>
    </row>
    <row r="12" spans="2:34" ht="30" customHeight="1" x14ac:dyDescent="0.35">
      <c r="B12" s="18" t="str">
        <f>NomMois&amp;" Total"</f>
        <v>Novembre Total</v>
      </c>
      <c r="C12" s="11">
        <f>SUBTOTAL(103,Novembre[1])</f>
        <v>0</v>
      </c>
      <c r="D12" s="11">
        <f>SUBTOTAL(103,Novembre[2])</f>
        <v>0</v>
      </c>
      <c r="E12" s="11">
        <f>SUBTOTAL(103,Novembre[3])</f>
        <v>0</v>
      </c>
      <c r="F12" s="11">
        <f>SUBTOTAL(103,Novembre[4])</f>
        <v>0</v>
      </c>
      <c r="G12" s="11">
        <f>SUBTOTAL(103,Novembre[5])</f>
        <v>0</v>
      </c>
      <c r="H12" s="11">
        <f>SUBTOTAL(103,Novembre[6])</f>
        <v>0</v>
      </c>
      <c r="I12" s="11">
        <f>SUBTOTAL(103,Novembre[7])</f>
        <v>0</v>
      </c>
      <c r="J12" s="11">
        <f>SUBTOTAL(103,Novembre[8])</f>
        <v>0</v>
      </c>
      <c r="K12" s="11">
        <f>SUBTOTAL(103,Novembre[9])</f>
        <v>0</v>
      </c>
      <c r="L12" s="11">
        <f>SUBTOTAL(103,Novembre[10])</f>
        <v>0</v>
      </c>
      <c r="M12" s="11">
        <f>SUBTOTAL(103,Novembre[11])</f>
        <v>0</v>
      </c>
      <c r="N12" s="11">
        <f>SUBTOTAL(103,Novembre[12])</f>
        <v>0</v>
      </c>
      <c r="O12" s="11">
        <f>SUBTOTAL(103,Novembre[13])</f>
        <v>0</v>
      </c>
      <c r="P12" s="11">
        <f>SUBTOTAL(103,Novembre[14])</f>
        <v>0</v>
      </c>
      <c r="Q12" s="11">
        <f>SUBTOTAL(103,Novembre[15])</f>
        <v>0</v>
      </c>
      <c r="R12" s="11">
        <f>SUBTOTAL(103,Novembre[16])</f>
        <v>0</v>
      </c>
      <c r="S12" s="11">
        <f>SUBTOTAL(103,Novembre[17])</f>
        <v>0</v>
      </c>
      <c r="T12" s="11">
        <f>SUBTOTAL(103,Novembre[18])</f>
        <v>0</v>
      </c>
      <c r="U12" s="11">
        <f>SUBTOTAL(103,Novembre[19])</f>
        <v>0</v>
      </c>
      <c r="V12" s="11">
        <f>SUBTOTAL(103,Novembre[20])</f>
        <v>0</v>
      </c>
      <c r="W12" s="11">
        <f>SUBTOTAL(103,Novembre[21])</f>
        <v>0</v>
      </c>
      <c r="X12" s="11">
        <f>SUBTOTAL(103,Novembre[22])</f>
        <v>0</v>
      </c>
      <c r="Y12" s="11">
        <f>SUBTOTAL(103,Novembre[23])</f>
        <v>0</v>
      </c>
      <c r="Z12" s="11">
        <f>SUBTOTAL(103,Novembre[24])</f>
        <v>0</v>
      </c>
      <c r="AA12" s="11">
        <f>SUBTOTAL(103,Novembre[25])</f>
        <v>0</v>
      </c>
      <c r="AB12" s="11">
        <f>SUBTOTAL(103,Novembre[26])</f>
        <v>0</v>
      </c>
      <c r="AC12" s="11">
        <f>SUBTOTAL(103,Novembre[27])</f>
        <v>0</v>
      </c>
      <c r="AD12" s="11">
        <f>SUBTOTAL(103,Novembre[28])</f>
        <v>0</v>
      </c>
      <c r="AE12" s="11">
        <f>SUBTOTAL(103,Novembre[29])</f>
        <v>0</v>
      </c>
      <c r="AF12" s="11">
        <f>SUBTOTAL(103,Novembre[30])</f>
        <v>0</v>
      </c>
      <c r="AG12" s="11">
        <f>SUBTOTAL(103,Novembre[[ ]])</f>
        <v>0</v>
      </c>
      <c r="AH12" s="11">
        <f>SUBTOTAL(109,Novembre[Total des jours])</f>
        <v>0</v>
      </c>
    </row>
  </sheetData>
  <mergeCells count="6">
    <mergeCell ref="C4:AG4"/>
    <mergeCell ref="D2:E2"/>
    <mergeCell ref="G2:I2"/>
    <mergeCell ref="K2:L2"/>
    <mergeCell ref="N2:Q2"/>
    <mergeCell ref="S2:V2"/>
  </mergeCells>
  <conditionalFormatting sqref="C7:AG11">
    <cfRule type="expression" priority="1" stopIfTrue="1">
      <formula>C7=""</formula>
    </cfRule>
    <cfRule type="expression" dxfId="42" priority="2" stopIfTrue="1">
      <formula>C7=CléPersonnalisée2</formula>
    </cfRule>
    <cfRule type="expression" dxfId="41" priority="3" stopIfTrue="1">
      <formula>C7=CléPersonnalisée1</formula>
    </cfRule>
    <cfRule type="expression" dxfId="40" priority="4" stopIfTrue="1">
      <formula>C7=CléMaladie</formula>
    </cfRule>
    <cfRule type="expression" dxfId="39" priority="5" stopIfTrue="1">
      <formula>C7=CléPersonnel</formula>
    </cfRule>
    <cfRule type="expression" dxfId="38"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{27D92E49-5CF1-46DF-AD7A-3A5E92F274F3}</x14:id>
        </ext>
      </extLst>
    </cfRule>
  </conditionalFormatting>
  <dataValidations count="14">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A00-000000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A00-000001000000}"/>
    <dataValidation allowBlank="1" showInputMessage="1" showErrorMessage="1" prompt="Cette ligne définit les clés utilisées dans le tableau : Congé en C2, Personnel en F2 et Congé maladie en J2. Les cellules M2 et R2 sont personnalisables" sqref="B2" xr:uid="{00000000-0002-0000-0A00-000002000000}"/>
    <dataValidation allowBlank="1" showInputMessage="1" showErrorMessage="1" prompt="Entrez une étiquette pour décrire la clé personnalisée à gauche" sqref="N2 S2" xr:uid="{00000000-0002-0000-0A00-000003000000}"/>
    <dataValidation allowBlank="1" showInputMessage="1" showErrorMessage="1" prompt="Entrez une lettre et personnalisez l’étiquette à droite pour ajouter un élément de clé" sqref="M2 R2" xr:uid="{00000000-0002-0000-0A00-000004000000}"/>
    <dataValidation allowBlank="1" showInputMessage="1" showErrorMessage="1" prompt="La lettre « M » indique une absence pour cause de maladie" sqref="J2" xr:uid="{00000000-0002-0000-0A00-000005000000}"/>
    <dataValidation allowBlank="1" showInputMessage="1" showErrorMessage="1" prompt="La lettre « P » indique une absence pour motifs personnels" sqref="F2" xr:uid="{00000000-0002-0000-0A00-000006000000}"/>
    <dataValidation allowBlank="1" showInputMessage="1" showErrorMessage="1" prompt="La lettre « C » indique une absence pour cause de congé" sqref="C2" xr:uid="{00000000-0002-0000-0A00-000007000000}"/>
    <dataValidation allowBlank="1" showInputMessage="1" showErrorMessage="1" prompt="Le titre mis à jour automatiquement figure dans cette cellule. Pour modifier le titre, mettez à jour la cellule B1 de la feuille de calcul Janvier" sqref="B1" xr:uid="{00000000-0002-0000-0A00-000008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A00-000009000000}"/>
    <dataValidation allowBlank="1" showInputMessage="1" showErrorMessage="1" prompt="Suivez les absences du mois de novembre dans cette feuille de calcul" sqref="A1" xr:uid="{00000000-0002-0000-0A00-00000A000000}"/>
    <dataValidation allowBlank="1" showInputMessage="1" showErrorMessage="1" prompt="Calcule automatiquement le nombre total de jours d’absence d’un employé durant ce mois dans cette colonne" sqref="AH6" xr:uid="{00000000-0002-0000-0A00-00000B000000}"/>
    <dataValidation allowBlank="1" showInputMessage="1" showErrorMessage="1" prompt="Année mise à jour automatiquement en fonction de l’année entrée dans la feuille de calcul Janvier" sqref="AH4" xr:uid="{00000000-0002-0000-0A00-00000C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A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27D92E49-5CF1-46DF-AD7A-3A5E92F274F3}">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E000000}">
          <x14:formula1>
            <xm:f>'Noms des employés'!$B$4:$B$8</xm:f>
          </x14:formula1>
          <xm:sqref>B7:B11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79998168889431442"/>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63</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TEXT(WEEKDAY(DATE(AnnéeCalendrier,12,1),1),"jjj")</f>
        <v>dim</v>
      </c>
      <c r="D5" s="2" t="str">
        <f>TEXT(WEEKDAY(DATE(AnnéeCalendrier,12,2),1),"jjj")</f>
        <v>lun</v>
      </c>
      <c r="E5" s="2" t="str">
        <f>TEXT(WEEKDAY(DATE(AnnéeCalendrier,12,3),1),"jjj")</f>
        <v>mar</v>
      </c>
      <c r="F5" s="2" t="str">
        <f>TEXT(WEEKDAY(DATE(AnnéeCalendrier,12,4),1),"jjj")</f>
        <v>mer</v>
      </c>
      <c r="G5" s="2" t="str">
        <f>TEXT(WEEKDAY(DATE(AnnéeCalendrier,12,5),1),"jjj")</f>
        <v>jeu</v>
      </c>
      <c r="H5" s="2" t="str">
        <f>TEXT(WEEKDAY(DATE(AnnéeCalendrier,12,6),1),"jjj")</f>
        <v>ven</v>
      </c>
      <c r="I5" s="2" t="str">
        <f>TEXT(WEEKDAY(DATE(AnnéeCalendrier,12,7),1),"jjj")</f>
        <v>sam</v>
      </c>
      <c r="J5" s="2" t="str">
        <f>TEXT(WEEKDAY(DATE(AnnéeCalendrier,12,8),1),"jjj")</f>
        <v>dim</v>
      </c>
      <c r="K5" s="2" t="str">
        <f>TEXT(WEEKDAY(DATE(AnnéeCalendrier,12,9),1),"jjj")</f>
        <v>lun</v>
      </c>
      <c r="L5" s="2" t="str">
        <f>TEXT(WEEKDAY(DATE(AnnéeCalendrier,12,10),1),"jjj")</f>
        <v>mar</v>
      </c>
      <c r="M5" s="2" t="str">
        <f>TEXT(WEEKDAY(DATE(AnnéeCalendrier,12,11),1),"jjj")</f>
        <v>mer</v>
      </c>
      <c r="N5" s="2" t="str">
        <f>TEXT(WEEKDAY(DATE(AnnéeCalendrier,12,12),1),"jjj")</f>
        <v>jeu</v>
      </c>
      <c r="O5" s="2" t="str">
        <f>TEXT(WEEKDAY(DATE(AnnéeCalendrier,12,13),1),"jjj")</f>
        <v>ven</v>
      </c>
      <c r="P5" s="2" t="str">
        <f>TEXT(WEEKDAY(DATE(AnnéeCalendrier,12,14),1),"jjj")</f>
        <v>sam</v>
      </c>
      <c r="Q5" s="2" t="str">
        <f>TEXT(WEEKDAY(DATE(AnnéeCalendrier,12,15),1),"jjj")</f>
        <v>dim</v>
      </c>
      <c r="R5" s="2" t="str">
        <f>TEXT(WEEKDAY(DATE(AnnéeCalendrier,12,16),1),"jjj")</f>
        <v>lun</v>
      </c>
      <c r="S5" s="2" t="str">
        <f>TEXT(WEEKDAY(DATE(AnnéeCalendrier,12,17),1),"jjj")</f>
        <v>mar</v>
      </c>
      <c r="T5" s="2" t="str">
        <f>TEXT(WEEKDAY(DATE(AnnéeCalendrier,12,18),1),"jjj")</f>
        <v>mer</v>
      </c>
      <c r="U5" s="2" t="str">
        <f>TEXT(WEEKDAY(DATE(AnnéeCalendrier,12,19),1),"jjj")</f>
        <v>jeu</v>
      </c>
      <c r="V5" s="2" t="str">
        <f>TEXT(WEEKDAY(DATE(AnnéeCalendrier,12,20),1),"jjj")</f>
        <v>ven</v>
      </c>
      <c r="W5" s="2" t="str">
        <f>TEXT(WEEKDAY(DATE(AnnéeCalendrier,12,21),1),"jjj")</f>
        <v>sam</v>
      </c>
      <c r="X5" s="2" t="str">
        <f>TEXT(WEEKDAY(DATE(AnnéeCalendrier,12,22),1),"jjj")</f>
        <v>dim</v>
      </c>
      <c r="Y5" s="2" t="str">
        <f>TEXT(WEEKDAY(DATE(AnnéeCalendrier,12,23),1),"jjj")</f>
        <v>lun</v>
      </c>
      <c r="Z5" s="2" t="str">
        <f>TEXT(WEEKDAY(DATE(AnnéeCalendrier,12,24),1),"jjj")</f>
        <v>mar</v>
      </c>
      <c r="AA5" s="2" t="str">
        <f>TEXT(WEEKDAY(DATE(AnnéeCalendrier,12,25),1),"jjj")</f>
        <v>mer</v>
      </c>
      <c r="AB5" s="2" t="str">
        <f>TEXT(WEEKDAY(DATE(AnnéeCalendrier,12,26),1),"jjj")</f>
        <v>jeu</v>
      </c>
      <c r="AC5" s="2" t="str">
        <f>TEXT(WEEKDAY(DATE(AnnéeCalendrier,12,27),1),"jjj")</f>
        <v>ven</v>
      </c>
      <c r="AD5" s="2" t="str">
        <f>TEXT(WEEKDAY(DATE(AnnéeCalendrier,12,28),1),"jjj")</f>
        <v>sam</v>
      </c>
      <c r="AE5" s="2" t="str">
        <f>TEXT(WEEKDAY(DATE(AnnéeCalendrier,12,29),1),"jjj")</f>
        <v>dim</v>
      </c>
      <c r="AF5" s="2" t="str">
        <f>TEXT(WEEKDAY(DATE(AnnéeCalendrier,12,30),1),"jjj")</f>
        <v>lun</v>
      </c>
      <c r="AG5" s="2" t="str">
        <f>TEXT(WEEKDAY(DATE(AnnéeCalendrier,12,31),1),"jjj")</f>
        <v>mar</v>
      </c>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48</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COUNTA(Décembre[[#This Row],[1]:[31]])</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COUNTA(Décembre[[#This Row],[1]:[31]])</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COUNTA(Décembre[[#This Row],[1]:[31]])</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COUNTA(Décembre[[#This Row],[1]:[31]])</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COUNTA(Décembre[[#This Row],[1]:[31]])</f>
        <v>0</v>
      </c>
    </row>
    <row r="12" spans="2:34" ht="30" customHeight="1" x14ac:dyDescent="0.35">
      <c r="B12" s="18" t="str">
        <f>NomMois&amp;" Total"</f>
        <v>Décembre Total</v>
      </c>
      <c r="C12" s="11">
        <f>SUBTOTAL(103,Décembre[1])</f>
        <v>0</v>
      </c>
      <c r="D12" s="11">
        <f>SUBTOTAL(103,Décembre[2])</f>
        <v>0</v>
      </c>
      <c r="E12" s="11">
        <f>SUBTOTAL(103,Décembre[3])</f>
        <v>0</v>
      </c>
      <c r="F12" s="11">
        <f>SUBTOTAL(103,Décembre[4])</f>
        <v>0</v>
      </c>
      <c r="G12" s="11">
        <f>SUBTOTAL(103,Décembre[5])</f>
        <v>0</v>
      </c>
      <c r="H12" s="11">
        <f>SUBTOTAL(103,Décembre[6])</f>
        <v>0</v>
      </c>
      <c r="I12" s="11">
        <f>SUBTOTAL(103,Décembre[7])</f>
        <v>0</v>
      </c>
      <c r="J12" s="11">
        <f>SUBTOTAL(103,Décembre[8])</f>
        <v>0</v>
      </c>
      <c r="K12" s="11">
        <f>SUBTOTAL(103,Décembre[9])</f>
        <v>0</v>
      </c>
      <c r="L12" s="11">
        <f>SUBTOTAL(103,Décembre[10])</f>
        <v>0</v>
      </c>
      <c r="M12" s="11">
        <f>SUBTOTAL(103,Décembre[11])</f>
        <v>0</v>
      </c>
      <c r="N12" s="11">
        <f>SUBTOTAL(103,Décembre[12])</f>
        <v>0</v>
      </c>
      <c r="O12" s="11">
        <f>SUBTOTAL(103,Décembre[13])</f>
        <v>0</v>
      </c>
      <c r="P12" s="11">
        <f>SUBTOTAL(103,Décembre[14])</f>
        <v>0</v>
      </c>
      <c r="Q12" s="11">
        <f>SUBTOTAL(103,Décembre[15])</f>
        <v>0</v>
      </c>
      <c r="R12" s="11">
        <f>SUBTOTAL(103,Décembre[16])</f>
        <v>0</v>
      </c>
      <c r="S12" s="11">
        <f>SUBTOTAL(103,Décembre[17])</f>
        <v>0</v>
      </c>
      <c r="T12" s="11">
        <f>SUBTOTAL(103,Décembre[18])</f>
        <v>0</v>
      </c>
      <c r="U12" s="11">
        <f>SUBTOTAL(103,Décembre[19])</f>
        <v>0</v>
      </c>
      <c r="V12" s="11">
        <f>SUBTOTAL(103,Décembre[20])</f>
        <v>0</v>
      </c>
      <c r="W12" s="11">
        <f>SUBTOTAL(103,Décembre[21])</f>
        <v>0</v>
      </c>
      <c r="X12" s="11">
        <f>SUBTOTAL(103,Décembre[22])</f>
        <v>0</v>
      </c>
      <c r="Y12" s="11">
        <f>SUBTOTAL(103,Décembre[23])</f>
        <v>0</v>
      </c>
      <c r="Z12" s="11">
        <f>SUBTOTAL(103,Décembre[24])</f>
        <v>0</v>
      </c>
      <c r="AA12" s="11">
        <f>SUBTOTAL(103,Décembre[25])</f>
        <v>0</v>
      </c>
      <c r="AB12" s="11">
        <f>SUBTOTAL(103,Décembre[26])</f>
        <v>0</v>
      </c>
      <c r="AC12" s="11">
        <f>SUBTOTAL(103,Décembre[27])</f>
        <v>0</v>
      </c>
      <c r="AD12" s="11">
        <f>SUBTOTAL(103,Décembre[28])</f>
        <v>0</v>
      </c>
      <c r="AE12" s="11">
        <f>SUBTOTAL(103,Décembre[29])</f>
        <v>0</v>
      </c>
      <c r="AF12" s="11">
        <f>SUBTOTAL(103,Décembre[30])</f>
        <v>0</v>
      </c>
      <c r="AG12" s="11">
        <f>SUBTOTAL(103,Décembre[31])</f>
        <v>0</v>
      </c>
      <c r="AH12" s="11">
        <f>SUBTOTAL(109,Décembre[Total des jours])</f>
        <v>0</v>
      </c>
    </row>
  </sheetData>
  <mergeCells count="6">
    <mergeCell ref="C4:AG4"/>
    <mergeCell ref="D2:E2"/>
    <mergeCell ref="G2:I2"/>
    <mergeCell ref="K2:L2"/>
    <mergeCell ref="N2:Q2"/>
    <mergeCell ref="S2:V2"/>
  </mergeCells>
  <conditionalFormatting sqref="C7:AG11">
    <cfRule type="expression" priority="1" stopIfTrue="1">
      <formula>C7=""</formula>
    </cfRule>
    <cfRule type="expression" dxfId="37" priority="2" stopIfTrue="1">
      <formula>C7=CléPersonnalisée2</formula>
    </cfRule>
    <cfRule type="expression" dxfId="36" priority="3" stopIfTrue="1">
      <formula>C7=CléPersonnalisée1</formula>
    </cfRule>
    <cfRule type="expression" dxfId="35" priority="4" stopIfTrue="1">
      <formula>C7=CléMaladie</formula>
    </cfRule>
    <cfRule type="expression" dxfId="34" priority="5" stopIfTrue="1">
      <formula>C7=CléPersonnel</formula>
    </cfRule>
    <cfRule type="expression" dxfId="33" priority="6" stopIfTrue="1">
      <formula>C7=CléCongé</formula>
    </cfRule>
  </conditionalFormatting>
  <conditionalFormatting sqref="AH7:AH11">
    <cfRule type="dataBar" priority="30">
      <dataBar>
        <cfvo type="min"/>
        <cfvo type="formula" val="DATEDIF(DATE(AnnéeCalendrier,2,1),DATE(AnnéeCalendrier,3,1),&quot;d&quot;)"/>
        <color theme="2" tint="-0.249977111117893"/>
      </dataBar>
      <extLst>
        <ext xmlns:x14="http://schemas.microsoft.com/office/spreadsheetml/2009/9/main" uri="{B025F937-C7B1-47D3-B67F-A62EFF666E3E}">
          <x14:id>{17586780-365B-4F4C-BBB4-F5991705D361}</x14:id>
        </ext>
      </extLst>
    </cfRule>
  </conditionalFormatting>
  <dataValidations count="14">
    <dataValidation allowBlank="1" showInputMessage="1" showErrorMessage="1" prompt="Année mise à jour automatiquement en fonction de l’année entrée dans la feuille de calcul Janvier" sqref="AH4" xr:uid="{00000000-0002-0000-0B00-000000000000}"/>
    <dataValidation allowBlank="1" showInputMessage="1" showErrorMessage="1" prompt="Calcule automatiquement le nombre total de jours d’absence d’un employé durant ce mois dans cette colonne" sqref="AH6" xr:uid="{00000000-0002-0000-0B00-000001000000}"/>
    <dataValidation allowBlank="1" showInputMessage="1" showErrorMessage="1" prompt="Suivez les absences du mois de décembre dans cette feuille de calcul" sqref="A1" xr:uid="{00000000-0002-0000-0B00-000002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B00-000003000000}"/>
    <dataValidation allowBlank="1" showInputMessage="1" showErrorMessage="1" prompt="Le titre mis à jour automatiquement figure dans cette cellule. Pour modifier le titre, mettez à jour la cellule B1 de la feuille de calcul Janvier" sqref="B1" xr:uid="{00000000-0002-0000-0B00-000004000000}"/>
    <dataValidation allowBlank="1" showInputMessage="1" showErrorMessage="1" prompt="La lettre « C » indique une absence pour cause de congé" sqref="C2" xr:uid="{00000000-0002-0000-0B00-000005000000}"/>
    <dataValidation allowBlank="1" showInputMessage="1" showErrorMessage="1" prompt="La lettre « P » indique une absence pour motifs personnels" sqref="F2" xr:uid="{00000000-0002-0000-0B00-000006000000}"/>
    <dataValidation allowBlank="1" showInputMessage="1" showErrorMessage="1" prompt="La lettre « M » indique une absence pour cause de maladie" sqref="J2" xr:uid="{00000000-0002-0000-0B00-000007000000}"/>
    <dataValidation allowBlank="1" showInputMessage="1" showErrorMessage="1" prompt="Entrez une lettre et personnalisez l’étiquette à droite pour ajouter un élément de clé" sqref="M2 R2" xr:uid="{00000000-0002-0000-0B00-000008000000}"/>
    <dataValidation allowBlank="1" showInputMessage="1" showErrorMessage="1" prompt="Entrez une étiquette pour décrire la clé personnalisée à gauche" sqref="N2 S2" xr:uid="{00000000-0002-0000-0B00-000009000000}"/>
    <dataValidation allowBlank="1" showInputMessage="1" showErrorMessage="1" prompt="Cette ligne définit les clés utilisées dans le tableau : Congé en C2, Personnel en F2 et Congé maladie en J2. Les cellules M2 et R2 sont personnalisables" sqref="B2" xr:uid="{00000000-0002-0000-0B00-00000A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B00-00000B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B00-00000C000000}"/>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B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17586780-365B-4F4C-BBB4-F5991705D361}">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E000000}">
          <x14:formula1>
            <xm:f>'Noms des employés'!$B$4:$B$8</xm:f>
          </x14:formula1>
          <xm:sqref>B7:B11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B1:B8"/>
  <sheetViews>
    <sheetView showGridLines="0" workbookViewId="0">
      <selection activeCell="B8" sqref="B8"/>
    </sheetView>
  </sheetViews>
  <sheetFormatPr defaultColWidth="9.1796875" defaultRowHeight="30" customHeight="1" x14ac:dyDescent="0.35"/>
  <cols>
    <col min="1" max="1" width="2.7265625" customWidth="1"/>
    <col min="2" max="2" width="30.7265625" customWidth="1"/>
    <col min="3" max="3" width="2.7265625" customWidth="1"/>
  </cols>
  <sheetData>
    <row r="1" spans="2:2" ht="50.15" customHeight="1" x14ac:dyDescent="0.35">
      <c r="B1" s="19" t="s">
        <v>64</v>
      </c>
    </row>
    <row r="2" spans="2:2" ht="15" customHeight="1" x14ac:dyDescent="0.35"/>
    <row r="3" spans="2:2" ht="30" customHeight="1" x14ac:dyDescent="0.35">
      <c r="B3" t="s">
        <v>64</v>
      </c>
    </row>
    <row r="4" spans="2:2" ht="30" customHeight="1" x14ac:dyDescent="0.35">
      <c r="B4" s="1" t="s">
        <v>4</v>
      </c>
    </row>
    <row r="5" spans="2:2" ht="30" customHeight="1" x14ac:dyDescent="0.35">
      <c r="B5" s="1" t="s">
        <v>5</v>
      </c>
    </row>
    <row r="6" spans="2:2" ht="30" customHeight="1" x14ac:dyDescent="0.35">
      <c r="B6" s="1" t="s">
        <v>6</v>
      </c>
    </row>
    <row r="7" spans="2:2" ht="30" customHeight="1" x14ac:dyDescent="0.35">
      <c r="B7" s="1" t="s">
        <v>7</v>
      </c>
    </row>
    <row r="8" spans="2:2" ht="30" customHeight="1" x14ac:dyDescent="0.35">
      <c r="B8" s="1" t="s">
        <v>8</v>
      </c>
    </row>
  </sheetData>
  <dataValidations count="3">
    <dataValidation allowBlank="1" showInputMessage="1" showErrorMessage="1" prompt="Titre Noms des employés" sqref="B1" xr:uid="{00000000-0002-0000-0C00-000000000000}"/>
    <dataValidation allowBlank="1" showInputMessage="1" showErrorMessage="1" prompt="Entrez les noms des employés dans le tableau Noms des employés dans cette feuille de calcul. Ces noms sont utilisés en tant qu’options dans la colonne B du tableau des absences de chaque mois." sqref="A1" xr:uid="{00000000-0002-0000-0C00-000001000000}"/>
    <dataValidation allowBlank="1" showInputMessage="1" showErrorMessage="1" prompt="Entrez les noms des employés dans cette colonne" sqref="B3" xr:uid="{00000000-0002-0000-0C00-000002000000}"/>
  </dataValidations>
  <pageMargins left="0.7" right="0.7" top="0.75" bottom="0.75" header="0.3" footer="0.3"/>
  <pageSetup paperSize="9" orientation="portrait" horizontalDpi="200" verticalDpi="200" r:id="rId1"/>
  <tableParts count="1">
    <tablePart r:id="rId2"/>
  </tableParts>
</worksheet>
</file>

<file path=docProps/app.xml><?xml version="1.0" encoding="utf-8"?>
<Properties xmlns="http://schemas.openxmlformats.org/officeDocument/2006/extended-properties" xmlns:vt="http://schemas.openxmlformats.org/officeDocument/2006/docPropsVTypes">
  <Template>TM03987167</Template>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50</vt:i4>
      </vt:variant>
    </vt:vector>
  </HeadingPairs>
  <TitlesOfParts>
    <vt:vector size="63" baseType="lpstr">
      <vt:lpstr>Janvier</vt:lpstr>
      <vt:lpstr>Février</vt:lpstr>
      <vt:lpstr>Mars</vt:lpstr>
      <vt:lpstr>Avril</vt:lpstr>
      <vt:lpstr>Mai</vt:lpstr>
      <vt:lpstr>Juin</vt:lpstr>
      <vt:lpstr>Juillet</vt:lpstr>
      <vt:lpstr>Août</vt:lpstr>
      <vt:lpstr>Septembre</vt:lpstr>
      <vt:lpstr>Octobre</vt:lpstr>
      <vt:lpstr>Novembre</vt:lpstr>
      <vt:lpstr>Décembre</vt:lpstr>
      <vt:lpstr>Noms des employés</vt:lpstr>
      <vt:lpstr>AnnéeCalendrier</vt:lpstr>
      <vt:lpstr>CléCongé</vt:lpstr>
      <vt:lpstr>CléMaladie</vt:lpstr>
      <vt:lpstr>CléPersonnalisée1</vt:lpstr>
      <vt:lpstr>CléPersonnalisée2</vt:lpstr>
      <vt:lpstr>CléPersonnel</vt:lpstr>
      <vt:lpstr>ÉtiquetteCléCongé</vt:lpstr>
      <vt:lpstr>ÉtiquetteCléMaladie</vt:lpstr>
      <vt:lpstr>ÉtiquetteCléPersonnalisée1</vt:lpstr>
      <vt:lpstr>ÉtiquetteCléPersonnalisée2</vt:lpstr>
      <vt:lpstr>ÉtiquetteCléPersonnel</vt:lpstr>
      <vt:lpstr>Nom_clé</vt:lpstr>
      <vt:lpstr>Août!NomMois</vt:lpstr>
      <vt:lpstr>Avril!NomMois</vt:lpstr>
      <vt:lpstr>Décembre!NomMois</vt:lpstr>
      <vt:lpstr>Février!NomMois</vt:lpstr>
      <vt:lpstr>Janvier!NomMois</vt:lpstr>
      <vt:lpstr>Juillet!NomMois</vt:lpstr>
      <vt:lpstr>Juin!NomMois</vt:lpstr>
      <vt:lpstr>Mai!NomMois</vt:lpstr>
      <vt:lpstr>Mars!NomMois</vt:lpstr>
      <vt:lpstr>Novembre!NomMois</vt:lpstr>
      <vt:lpstr>Octobre!NomMois</vt:lpstr>
      <vt:lpstr>Septembre!NomMois</vt:lpstr>
      <vt:lpstr>Titre_Absence_Employé</vt:lpstr>
      <vt:lpstr>Titre1</vt:lpstr>
      <vt:lpstr>Titre10</vt:lpstr>
      <vt:lpstr>Titre11</vt:lpstr>
      <vt:lpstr>Titre12</vt:lpstr>
      <vt:lpstr>Titre2</vt:lpstr>
      <vt:lpstr>Titre3</vt:lpstr>
      <vt:lpstr>Titre4</vt:lpstr>
      <vt:lpstr>Titre5</vt:lpstr>
      <vt:lpstr>Titre6</vt:lpstr>
      <vt:lpstr>Titre7</vt:lpstr>
      <vt:lpstr>Titre8</vt:lpstr>
      <vt:lpstr>Titre9</vt:lpstr>
      <vt:lpstr>TitreColonne13</vt:lpstr>
      <vt:lpstr>Août!Заголовки_для_печати</vt:lpstr>
      <vt:lpstr>Avril!Заголовки_для_печати</vt:lpstr>
      <vt:lpstr>Décembre!Заголовки_для_печати</vt:lpstr>
      <vt:lpstr>Février!Заголовки_для_печати</vt:lpstr>
      <vt:lpstr>Janvier!Заголовки_для_печати</vt:lpstr>
      <vt:lpstr>Juillet!Заголовки_для_печати</vt:lpstr>
      <vt:lpstr>Juin!Заголовки_для_печати</vt:lpstr>
      <vt:lpstr>Mai!Заголовки_для_печати</vt:lpstr>
      <vt:lpstr>Mars!Заголовки_для_печати</vt:lpstr>
      <vt:lpstr>Novembre!Заголовки_для_печати</vt:lpstr>
      <vt:lpstr>Octobre!Заголовки_для_печати</vt:lpstr>
      <vt:lpstr>Septembre!Заголовки_для_печати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agruban</dc:creator>
  <cp:lastModifiedBy>Alex</cp:lastModifiedBy>
  <cp:lastPrinted>2023-03-25T13:18:15Z</cp:lastPrinted>
  <dcterms:created xsi:type="dcterms:W3CDTF">2016-12-06T04:52:27Z</dcterms:created>
  <dcterms:modified xsi:type="dcterms:W3CDTF">2024-05-26T06:33:43Z</dcterms:modified>
</cp:coreProperties>
</file>